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80" windowWidth="20580" windowHeight="11460" tabRatio="790" firstSheet="2" activeTab="2"/>
  </bookViews>
  <sheets>
    <sheet name="Профілактика(Конкурс+ТЗ) Альянс" sheetId="1" state="hidden" r:id="rId1"/>
    <sheet name="ДКП_PrEP Альянс" sheetId="6" state="hidden" r:id="rId2"/>
    <sheet name=" Профілактика (Конкурс)  Альянс" sheetId="2" r:id="rId3"/>
  </sheets>
  <definedNames>
    <definedName name="_xlnm._FilterDatabase" localSheetId="2" hidden="1">' Профілактика (Конкурс)  Альянс'!$A$3:$AQ$5</definedName>
    <definedName name="_xlnm._FilterDatabase" localSheetId="0" hidden="1">'Профілактика(Конкурс+ТЗ) Альянс'!$A$3:$EN$108</definedName>
    <definedName name="Z_0824BB6F_883A_4973_BBFF_6232E546635B_.wvu.FilterData" localSheetId="2" hidden="1">' Профілактика (Конкурс)  Альянс'!$A$3:$R$5</definedName>
    <definedName name="Z_0824BB6F_883A_4973_BBFF_6232E546635B_.wvu.FilterData" localSheetId="0" hidden="1">'Профілактика(Конкурс+ТЗ) Альянс'!$A$3:$DO$108</definedName>
    <definedName name="Z_0B16CE4F_F066_4D77_9EB0_D7F68870C6D7_.wvu.FilterData" localSheetId="2" hidden="1">' Профілактика (Конкурс)  Альянс'!$A$3:$R$5</definedName>
    <definedName name="Z_0B16CE4F_F066_4D77_9EB0_D7F68870C6D7_.wvu.FilterData" localSheetId="0" hidden="1">'Профілактика(Конкурс+ТЗ) Альянс'!$A$3:$DO$108</definedName>
    <definedName name="Z_0DB1B74D_826A_408A_8507_C1062B32BC35_.wvu.FilterData" localSheetId="2" hidden="1">' Профілактика (Конкурс)  Альянс'!$A$3:$R$5</definedName>
    <definedName name="Z_0DB1B74D_826A_408A_8507_C1062B32BC35_.wvu.FilterData" localSheetId="0" hidden="1">'Профілактика(Конкурс+ТЗ) Альянс'!$A$3:$DO$108</definedName>
    <definedName name="Z_19883E46_164B_424C_ACD9_747E93E6819B_.wvu.FilterData" localSheetId="2" hidden="1">' Профілактика (Конкурс)  Альянс'!$A$3:$R$5</definedName>
    <definedName name="Z_19883E46_164B_424C_ACD9_747E93E6819B_.wvu.FilterData" localSheetId="0" hidden="1">'Профілактика(Конкурс+ТЗ) Альянс'!$A$3:$DO$108</definedName>
    <definedName name="Z_1A6B5A41_A64D_4417_9D08_B1742EF145CA_.wvu.FilterData" localSheetId="2" hidden="1">' Профілактика (Конкурс)  Альянс'!$A$3:$R$5</definedName>
    <definedName name="Z_1A6B5A41_A64D_4417_9D08_B1742EF145CA_.wvu.FilterData" localSheetId="0" hidden="1">'Профілактика(Конкурс+ТЗ) Альянс'!$A$3:$DO$108</definedName>
    <definedName name="Z_1B3F0DF0_548B_403D_B90E_4F8A1B4D45AE_.wvu.FilterData" localSheetId="2" hidden="1">' Профілактика (Конкурс)  Альянс'!$A$3:$R$5</definedName>
    <definedName name="Z_1B3F0DF0_548B_403D_B90E_4F8A1B4D45AE_.wvu.FilterData" localSheetId="0" hidden="1">'Профілактика(Конкурс+ТЗ) Альянс'!$A$3:$DO$108</definedName>
    <definedName name="Z_1FCE37FE_76A8_4C71_9A9F_835226813E4E_.wvu.FilterData" localSheetId="2" hidden="1">' Профілактика (Конкурс)  Альянс'!$A$3:$R$5</definedName>
    <definedName name="Z_1FCE37FE_76A8_4C71_9A9F_835226813E4E_.wvu.FilterData" localSheetId="0" hidden="1">'Профілактика(Конкурс+ТЗ) Альянс'!$A$3:$DO$108</definedName>
    <definedName name="Z_277C6933_D88C_4B2F_B250_04F58CB192ED_.wvu.FilterData" localSheetId="2" hidden="1">' Профілактика (Конкурс)  Альянс'!$A$3:$AQ$5</definedName>
    <definedName name="Z_2825FDD8_3959_4DC1_907B_BE2D9C80A051_.wvu.FilterData" localSheetId="2" hidden="1">' Профілактика (Конкурс)  Альянс'!$A$3:$R$5</definedName>
    <definedName name="Z_2825FDD8_3959_4DC1_907B_BE2D9C80A051_.wvu.FilterData" localSheetId="0" hidden="1">'Профілактика(Конкурс+ТЗ) Альянс'!$A$3:$DO$108</definedName>
    <definedName name="Z_289C981E_C193_47AB_8B38_962E4B5423C3_.wvu.FilterData" localSheetId="2" hidden="1">' Профілактика (Конкурс)  Альянс'!$A$3:$R$5</definedName>
    <definedName name="Z_289C981E_C193_47AB_8B38_962E4B5423C3_.wvu.FilterData" localSheetId="0" hidden="1">'Профілактика(Конкурс+ТЗ) Альянс'!$A$3:$DO$108</definedName>
    <definedName name="Z_2B0CD363_2EA5_41D1_A755_25D57D315A5A_.wvu.FilterData" localSheetId="2" hidden="1">' Профілактика (Конкурс)  Альянс'!$A$3:$R$5</definedName>
    <definedName name="Z_2B0CD363_2EA5_41D1_A755_25D57D315A5A_.wvu.FilterData" localSheetId="0" hidden="1">'Профілактика(Конкурс+ТЗ) Альянс'!$A$3:$DO$108</definedName>
    <definedName name="Z_34FA952C_E72B_48B6_AF96_087503123C99_.wvu.Cols" localSheetId="2" hidden="1">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Альянс'!$N:$U,' Профілактика (Конкурс)  Альянс'!$W:$AB</definedName>
    <definedName name="Z_34FA952C_E72B_48B6_AF96_087503123C99_.wvu.Cols" localSheetId="0" hidden="1">'Профілактика(Конкурс+ТЗ) Альянс'!$D:$J</definedName>
    <definedName name="Z_34FA952C_E72B_48B6_AF96_087503123C99_.wvu.FilterData" localSheetId="2" hidden="1">' Профілактика (Конкурс)  Альянс'!$A$3:$AQ$5</definedName>
    <definedName name="Z_34FA952C_E72B_48B6_AF96_087503123C99_.wvu.FilterData" localSheetId="0" hidden="1">'Профілактика(Конкурс+ТЗ) Альянс'!$A$3:$EN$108</definedName>
    <definedName name="Z_34FA952C_E72B_48B6_AF96_087503123C99_.wvu.PrintArea" localSheetId="2" hidden="1">' Профілактика (Конкурс)  Альянс'!$A$1:$R$4</definedName>
    <definedName name="Z_34FA952C_E72B_48B6_AF96_087503123C99_.wvu.PrintArea" localSheetId="0" hidden="1">'Профілактика(Конкурс+ТЗ) Альянс'!$A$1:$DO$90</definedName>
    <definedName name="Z_34FA952C_E72B_48B6_AF96_087503123C99_.wvu.Rows" localSheetId="2" hidden="1">' Профілактика (Конкурс)  Альянс'!$2:$2</definedName>
    <definedName name="Z_34FA952C_E72B_48B6_AF96_087503123C99_.wvu.Rows" localSheetId="0" hidden="1">'Профілактика(Конкурс+ТЗ) Альянс'!$2:$2,'Профілактика(Конкурс+ТЗ) Альянс'!$109:$142,'Профілактика(Конкурс+ТЗ) Альянс'!$147:$150</definedName>
    <definedName name="Z_37F630EA_153A_4351_BA07_6FA230CB127D_.wvu.FilterData" localSheetId="2" hidden="1">' Профілактика (Конкурс)  Альянс'!$A$3:$R$5</definedName>
    <definedName name="Z_37F630EA_153A_4351_BA07_6FA230CB127D_.wvu.FilterData" localSheetId="0" hidden="1">'Профілактика(Конкурс+ТЗ) Альянс'!$A$3:$DO$108</definedName>
    <definedName name="Z_3BBF8203_8FA8_486A_B18D_AE7FDC184F85_.wvu.FilterData" localSheetId="2" hidden="1">' Профілактика (Конкурс)  Альянс'!$A$3:$R$5</definedName>
    <definedName name="Z_3BBF8203_8FA8_486A_B18D_AE7FDC184F85_.wvu.FilterData" localSheetId="0" hidden="1">'Профілактика(Конкурс+ТЗ) Альянс'!$A$3:$DO$108</definedName>
    <definedName name="Z_3EC943DD_A172_459A_BB00_6CD2CDBBF54B_.wvu.FilterData" localSheetId="2" hidden="1">' Профілактика (Конкурс)  Альянс'!$A$3:$R$5</definedName>
    <definedName name="Z_3EC943DD_A172_459A_BB00_6CD2CDBBF54B_.wvu.FilterData" localSheetId="0" hidden="1">'Профілактика(Конкурс+ТЗ) Альянс'!$A$3:$DO$108</definedName>
    <definedName name="Z_4F6C264F_2DF9_4CC0_881B_F5EDBF8E12D3_.wvu.FilterData" localSheetId="2" hidden="1">' Профілактика (Конкурс)  Альянс'!$A$3:$R$5</definedName>
    <definedName name="Z_4F6C264F_2DF9_4CC0_881B_F5EDBF8E12D3_.wvu.FilterData" localSheetId="0" hidden="1">'Профілактика(Конкурс+ТЗ) Альянс'!$A$3:$DO$108</definedName>
    <definedName name="Z_57B1CC99_B2B1_48DA_964A_3EFC061DE040_.wvu.FilterData" localSheetId="2" hidden="1">' Профілактика (Конкурс)  Альянс'!$A$3:$R$5</definedName>
    <definedName name="Z_57B1CC99_B2B1_48DA_964A_3EFC061DE040_.wvu.FilterData" localSheetId="0" hidden="1">'Профілактика(Конкурс+ТЗ) Альянс'!$A$3:$DO$108</definedName>
    <definedName name="Z_58D98990_59CE_42DF_8293_5A7117DF51DB_.wvu.FilterData" localSheetId="2" hidden="1">' Профілактика (Конкурс)  Альянс'!$A$3:$AQ$5</definedName>
    <definedName name="Z_5D61C232_3BC9_4050_B7C3_A81CF128D77B_.wvu.FilterData" localSheetId="2" hidden="1">' Профілактика (Конкурс)  Альянс'!$A$3:$R$5</definedName>
    <definedName name="Z_5D61C232_3BC9_4050_B7C3_A81CF128D77B_.wvu.FilterData" localSheetId="0" hidden="1">'Профілактика(Конкурс+ТЗ) Альянс'!$A$3:$DO$108</definedName>
    <definedName name="Z_5F1C05EC_7FF9_49F1_9C5A_57633E0335B8_.wvu.FilterData" localSheetId="2" hidden="1">' Профілактика (Конкурс)  Альянс'!$A$3:$AQ$5</definedName>
    <definedName name="Z_65F91D89_B5C2_4C38_9AB6_45CF0E91182A_.wvu.Cols" localSheetId="2" hidden="1">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Альянс'!$N:$U,' Профілактика (Конкурс)  Альянс'!#REF!,' Профілактика (Конкурс)  Альянс'!$X:$AC</definedName>
    <definedName name="Z_65F91D89_B5C2_4C38_9AB6_45CF0E91182A_.wvu.Cols" localSheetId="0" hidden="1">'Профілактика(Конкурс+ТЗ) Альянс'!$D:$J,'Профілактика(Конкурс+ТЗ) Альянс'!$N:$N,'Профілактика(Конкурс+ТЗ) Альянс'!$P:$V,'Профілактика(Конкурс+ТЗ) Альянс'!$AB:$AH,'Профілактика(Конкурс+ТЗ) Альянс'!$AL:$AL,'Профілактика(Конкурс+ТЗ) Альянс'!$AN:$BB,'Профілактика(Конкурс+ТЗ) Альянс'!$BF:$BF,'Профілактика(Конкурс+ТЗ) Альянс'!$BH:$BW,'Профілактика(Конкурс+ТЗ) Альянс'!$CA:$CA,'Профілактика(Конкурс+ТЗ) Альянс'!$CC:$CH</definedName>
    <definedName name="Z_65F91D89_B5C2_4C38_9AB6_45CF0E91182A_.wvu.FilterData" localSheetId="2" hidden="1">' Профілактика (Конкурс)  Альянс'!$A$3:$R$5</definedName>
    <definedName name="Z_65F91D89_B5C2_4C38_9AB6_45CF0E91182A_.wvu.FilterData" localSheetId="0" hidden="1">'Профілактика(Конкурс+ТЗ) Альянс'!$A$3:$DO$108</definedName>
    <definedName name="Z_65F91D89_B5C2_4C38_9AB6_45CF0E91182A_.wvu.Rows" localSheetId="2" hidden="1">' Профілактика (Конкурс)  Альянс'!$2:$2,' Профілактика (Конкурс)  Альянс'!#REF!</definedName>
    <definedName name="Z_65F91D89_B5C2_4C38_9AB6_45CF0E91182A_.wvu.Rows" localSheetId="0" hidden="1">'Профілактика(Конкурс+ТЗ) Альянс'!$2:$2,'Профілактика(Конкурс+ТЗ) Альянс'!$147:$150</definedName>
    <definedName name="Z_66424F04_DED9_4775_B8F7_EDB98EA20D13_.wvu.Cols" localSheetId="2" hidden="1">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Альянс'!$N:$U,' Профілактика (Конкурс)  Альянс'!#REF!,' Профілактика (Конкурс)  Альянс'!$X:$AC</definedName>
    <definedName name="Z_66424F04_DED9_4775_B8F7_EDB98EA20D13_.wvu.Cols" localSheetId="0" hidden="1">'Профілактика(Конкурс+ТЗ) Альянс'!$D:$J,'Профілактика(Конкурс+ТЗ) Альянс'!$N:$N,'Профілактика(Конкурс+ТЗ) Альянс'!$P:$V,'Профілактика(Конкурс+ТЗ) Альянс'!$AB:$AH,'Профілактика(Конкурс+ТЗ) Альянс'!$AL:$AL,'Профілактика(Конкурс+ТЗ) Альянс'!$AN:$BB,'Профілактика(Конкурс+ТЗ) Альянс'!$BF:$BF,'Профілактика(Конкурс+ТЗ) Альянс'!$BH:$BW,'Профілактика(Конкурс+ТЗ) Альянс'!$CA:$CA,'Профілактика(Конкурс+ТЗ) Альянс'!$CC:$CH</definedName>
    <definedName name="Z_66424F04_DED9_4775_B8F7_EDB98EA20D13_.wvu.Rows" localSheetId="2" hidden="1">' Профілактика (Конкурс)  Альянс'!$2:$2</definedName>
    <definedName name="Z_66424F04_DED9_4775_B8F7_EDB98EA20D13_.wvu.Rows" localSheetId="0" hidden="1">'Профілактика(Конкурс+ТЗ) Альянс'!$2:$2</definedName>
    <definedName name="Z_6AE8ECA7_E0A0_4EE7_9EA1_3CF3262BDE69_.wvu.FilterData" localSheetId="2" hidden="1">' Профілактика (Конкурс)  Альянс'!$A$3:$AQ$5</definedName>
    <definedName name="Z_6C449E06_9843_4B7D_9BB9_74765AF8FB91_.wvu.FilterData" localSheetId="2" hidden="1">' Профілактика (Конкурс)  Альянс'!$A$3:$AQ$5</definedName>
    <definedName name="Z_7000EE95_8DA7_42FC_946A_01528C06A0CF_.wvu.FilterData" localSheetId="2" hidden="1">' Профілактика (Конкурс)  Альянс'!$A$3:$R$5</definedName>
    <definedName name="Z_7000EE95_8DA7_42FC_946A_01528C06A0CF_.wvu.FilterData" localSheetId="0" hidden="1">'Профілактика(Конкурс+ТЗ) Альянс'!$A$3:$DO$108</definedName>
    <definedName name="Z_754A7BDC_81F8_4664_8CC3_426D1D92DF6F_.wvu.FilterData" localSheetId="2" hidden="1">' Профілактика (Конкурс)  Альянс'!$A$3:$R$5</definedName>
    <definedName name="Z_754A7BDC_81F8_4664_8CC3_426D1D92DF6F_.wvu.FilterData" localSheetId="0" hidden="1">'Профілактика(Конкурс+ТЗ) Альянс'!$A$3:$DO$108</definedName>
    <definedName name="Z_8442AA88_ADEF_4FA4_A0EE_6766316D434A_.wvu.Cols" localSheetId="2" hidden="1">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Альянс'!$N:$AC</definedName>
    <definedName name="Z_8442AA88_ADEF_4FA4_A0EE_6766316D434A_.wvu.Cols" localSheetId="0" hidden="1">'Профілактика(Конкурс+ТЗ) Альянс'!$D:$J</definedName>
    <definedName name="Z_8442AA88_ADEF_4FA4_A0EE_6766316D434A_.wvu.FilterData" localSheetId="2" hidden="1">' Профілактика (Конкурс)  Альянс'!$A$3:$AQ$5</definedName>
    <definedName name="Z_8442AA88_ADEF_4FA4_A0EE_6766316D434A_.wvu.FilterData" localSheetId="0" hidden="1">'Профілактика(Конкурс+ТЗ) Альянс'!$A$3:$EN$108</definedName>
    <definedName name="Z_8442AA88_ADEF_4FA4_A0EE_6766316D434A_.wvu.PrintArea" localSheetId="0" hidden="1">'Профілактика(Конкурс+ТЗ) Альянс'!$A$1:$DO$90</definedName>
    <definedName name="Z_8442AA88_ADEF_4FA4_A0EE_6766316D434A_.wvu.Rows" localSheetId="2" hidden="1">' Профілактика (Конкурс)  Альянс'!$7:$13</definedName>
    <definedName name="Z_8442AA88_ADEF_4FA4_A0EE_6766316D434A_.wvu.Rows" localSheetId="0" hidden="1">'Профілактика(Конкурс+ТЗ) Альянс'!$2:$2,'Профілактика(Конкурс+ТЗ) Альянс'!$109:$142,'Профілактика(Конкурс+ТЗ) Альянс'!$147:$150</definedName>
    <definedName name="Z_849409EF_3780_450A_8AE9_89E50B784DB9_.wvu.FilterData" localSheetId="2" hidden="1">' Профілактика (Конкурс)  Альянс'!$A$3:$R$5</definedName>
    <definedName name="Z_849409EF_3780_450A_8AE9_89E50B784DB9_.wvu.FilterData" localSheetId="0" hidden="1">'Профілактика(Конкурс+ТЗ) Альянс'!$A$3:$DO$108</definedName>
    <definedName name="Z_85A27DC1_5CBA_45A9_926D_157B11B928EB_.wvu.FilterData" localSheetId="2" hidden="1">' Профілактика (Конкурс)  Альянс'!$A$3:$R$5</definedName>
    <definedName name="Z_85A27DC1_5CBA_45A9_926D_157B11B928EB_.wvu.FilterData" localSheetId="0" hidden="1">'Профілактика(Конкурс+ТЗ) Альянс'!$A$3:$DO$108</definedName>
    <definedName name="Z_8A520DB5_6E5D_4D2C_AC17_5C9BB8E84306_.wvu.FilterData" localSheetId="2" hidden="1">' Профілактика (Конкурс)  Альянс'!$A$3:$R$5</definedName>
    <definedName name="Z_8A520DB5_6E5D_4D2C_AC17_5C9BB8E84306_.wvu.FilterData" localSheetId="0" hidden="1">'Профілактика(Конкурс+ТЗ) Альянс'!$A$3:$DO$108</definedName>
    <definedName name="Z_8CCE25B7_0B99_4973_89C1_3B49B04EB516_.wvu.FilterData" localSheetId="2" hidden="1">' Профілактика (Конкурс)  Альянс'!$A$3:$R$5</definedName>
    <definedName name="Z_8CCE25B7_0B99_4973_89C1_3B49B04EB516_.wvu.FilterData" localSheetId="0" hidden="1">'Профілактика(Конкурс+ТЗ) Альянс'!$A$3:$DO$108</definedName>
    <definedName name="Z_8EC20BC6_FAC7_4A8B_ACBF_84BF4787167F_.wvu.FilterData" localSheetId="2" hidden="1">' Профілактика (Конкурс)  Альянс'!$A$3:$R$5</definedName>
    <definedName name="Z_8EC20BC6_FAC7_4A8B_ACBF_84BF4787167F_.wvu.FilterData" localSheetId="0" hidden="1">'Профілактика(Конкурс+ТЗ) Альянс'!$A$3:$DO$108</definedName>
    <definedName name="Z_90D94AD3_72F0_4571_90B7_50B859C4832B_.wvu.Cols" localSheetId="0" hidden="1">'Профілактика(Конкурс+ТЗ) Альянс'!$D:$J</definedName>
    <definedName name="Z_90D94AD3_72F0_4571_90B7_50B859C4832B_.wvu.FilterData" localSheetId="2" hidden="1">' Профілактика (Конкурс)  Альянс'!$A$3:$AQ$5</definedName>
    <definedName name="Z_90D94AD3_72F0_4571_90B7_50B859C4832B_.wvu.FilterData" localSheetId="0" hidden="1">'Профілактика(Конкурс+ТЗ) Альянс'!$A$3:$EN$108</definedName>
    <definedName name="Z_90D94AD3_72F0_4571_90B7_50B859C4832B_.wvu.PrintArea" localSheetId="0" hidden="1">'Профілактика(Конкурс+ТЗ) Альянс'!$A$1:$DO$90</definedName>
    <definedName name="Z_90D94AD3_72F0_4571_90B7_50B859C4832B_.wvu.Rows" localSheetId="0" hidden="1">'Профілактика(Конкурс+ТЗ) Альянс'!$2:$2,'Профілактика(Конкурс+ТЗ) Альянс'!$109:$142,'Профілактика(Конкурс+ТЗ) Альянс'!$147:$150</definedName>
    <definedName name="Z_92E9D04D_A1B0_4625_81B7_DEC9EB1F6437_.wvu.FilterData" localSheetId="2" hidden="1">' Профілактика (Конкурс)  Альянс'!$A$3:$R$5</definedName>
    <definedName name="Z_92E9D04D_A1B0_4625_81B7_DEC9EB1F6437_.wvu.FilterData" localSheetId="0" hidden="1">'Профілактика(Конкурс+ТЗ) Альянс'!$A$3:$DO$108</definedName>
    <definedName name="Z_9363A893_03F6_4D2C_8C75_6DDCA1CCEDC3_.wvu.FilterData" localSheetId="2" hidden="1">' Профілактика (Конкурс)  Альянс'!$A$3:$R$5</definedName>
    <definedName name="Z_9363A893_03F6_4D2C_8C75_6DDCA1CCEDC3_.wvu.FilterData" localSheetId="0" hidden="1">'Профілактика(Конкурс+ТЗ) Альянс'!$A$3:$DO$108</definedName>
    <definedName name="Z_954FFFEC_E2EC_4644_909E_ECCDF49D512B_.wvu.FilterData" localSheetId="2" hidden="1">' Профілактика (Конкурс)  Альянс'!$A$3:$R$5</definedName>
    <definedName name="Z_954FFFEC_E2EC_4644_909E_ECCDF49D512B_.wvu.FilterData" localSheetId="0" hidden="1">'Профілактика(Конкурс+ТЗ) Альянс'!$A$3:$DO$108</definedName>
    <definedName name="Z_9A0104B0_F551_4E35_9005_529246A42B63_.wvu.Cols" localSheetId="2" hidden="1">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Альянс'!$N:$U,' Профілактика (Конкурс)  Альянс'!#REF!,' Профілактика (Конкурс)  Альянс'!$X:$AC</definedName>
    <definedName name="Z_9A0104B0_F551_4E35_9005_529246A42B63_.wvu.Cols" localSheetId="0" hidden="1">'Профілактика(Конкурс+ТЗ) Альянс'!$D:$J,'Профілактика(Конкурс+ТЗ) Альянс'!$N:$N,'Профілактика(Конкурс+ТЗ) Альянс'!$P:$V,'Профілактика(Конкурс+ТЗ) Альянс'!$AB:$AH,'Профілактика(Конкурс+ТЗ) Альянс'!$AL:$AL,'Профілактика(Конкурс+ТЗ) Альянс'!$AN:$BB,'Профілактика(Конкурс+ТЗ) Альянс'!$BF:$BF,'Профілактика(Конкурс+ТЗ) Альянс'!$BH:$BW,'Профілактика(Конкурс+ТЗ) Альянс'!$CA:$CA,'Профілактика(Конкурс+ТЗ) Альянс'!$CC:$CH</definedName>
    <definedName name="Z_9A0104B0_F551_4E35_9005_529246A42B63_.wvu.Rows" localSheetId="2" hidden="1">' Профілактика (Конкурс)  Альянс'!$2:$2</definedName>
    <definedName name="Z_9A0104B0_F551_4E35_9005_529246A42B63_.wvu.Rows" localSheetId="0" hidden="1">'Профілактика(Конкурс+ТЗ) Альянс'!$2:$2</definedName>
    <definedName name="Z_A2DAC672_F8C0_405B_B4C4_FB09D4A44803_.wvu.FilterData" localSheetId="2" hidden="1">' Профілактика (Конкурс)  Альянс'!$A$3:$R$5</definedName>
    <definedName name="Z_A2DAC672_F8C0_405B_B4C4_FB09D4A44803_.wvu.FilterData" localSheetId="0" hidden="1">'Профілактика(Конкурс+ТЗ) Альянс'!$A$3:$DO$108</definedName>
    <definedName name="Z_A4B46F4E_84D5_4DA9_B1F6_AC088132E048_.wvu.FilterData" localSheetId="2" hidden="1">' Профілактика (Конкурс)  Альянс'!$A$3:$R$5</definedName>
    <definedName name="Z_A4B46F4E_84D5_4DA9_B1F6_AC088132E048_.wvu.FilterData" localSheetId="0" hidden="1">'Профілактика(Конкурс+ТЗ) Альянс'!$A$3:$DO$108</definedName>
    <definedName name="Z_B04334A2_1490_473D_B5E9_DC97902621FB_.wvu.FilterData" localSheetId="2" hidden="1">' Профілактика (Конкурс)  Альянс'!$A$3:$R$5</definedName>
    <definedName name="Z_B04334A2_1490_473D_B5E9_DC97902621FB_.wvu.FilterData" localSheetId="0" hidden="1">'Профілактика(Конкурс+ТЗ) Альянс'!$A$3:$DO$108</definedName>
    <definedName name="Z_B7495064_F422_4CE2_8D02_F72C1BF5417F_.wvu.FilterData" localSheetId="2" hidden="1">' Профілактика (Конкурс)  Альянс'!$A$3:$R$5</definedName>
    <definedName name="Z_B7495064_F422_4CE2_8D02_F72C1BF5417F_.wvu.FilterData" localSheetId="0" hidden="1">'Профілактика(Конкурс+ТЗ) Альянс'!$A$3:$DO$108</definedName>
    <definedName name="Z_B9297A48_9CE9_4238_93ED_2F54946E37C7_.wvu.FilterData" localSheetId="2" hidden="1">' Профілактика (Конкурс)  Альянс'!$A$3:$AQ$5</definedName>
    <definedName name="Z_BF762FB7_22DB_4895_96BE_60D307916815_.wvu.FilterData" localSheetId="2" hidden="1">' Профілактика (Конкурс)  Альянс'!$A$3:$R$5</definedName>
    <definedName name="Z_BF762FB7_22DB_4895_96BE_60D307916815_.wvu.FilterData" localSheetId="0" hidden="1">'Профілактика(Конкурс+ТЗ) Альянс'!$A$3:$DO$108</definedName>
    <definedName name="Z_C616D1F4_B491_40EC_B8A6_F22EE8B67EB1_.wvu.Cols" localSheetId="2" hidden="1">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Альянс'!#REF!,' Профілактика (Конкурс)  Альянс'!$N:$U,' Профілактика (Конкурс)  Альянс'!#REF!,' Профілактика (Конкурс)  Альянс'!$X:$AC</definedName>
    <definedName name="Z_C616D1F4_B491_40EC_B8A6_F22EE8B67EB1_.wvu.Cols" localSheetId="0" hidden="1">'Профілактика(Конкурс+ТЗ) Альянс'!$D:$J,'Профілактика(Конкурс+ТЗ) Альянс'!$N:$N,'Профілактика(Конкурс+ТЗ) Альянс'!$P:$V,'Профілактика(Конкурс+ТЗ) Альянс'!$AB:$AH,'Профілактика(Конкурс+ТЗ) Альянс'!$AL:$AL,'Профілактика(Конкурс+ТЗ) Альянс'!$AN:$BB,'Профілактика(Конкурс+ТЗ) Альянс'!$BF:$BF,'Профілактика(Конкурс+ТЗ) Альянс'!$BH:$BW,'Профілактика(Конкурс+ТЗ) Альянс'!$CA:$CA,'Профілактика(Конкурс+ТЗ) Альянс'!$CC:$CH</definedName>
    <definedName name="Z_C616D1F4_B491_40EC_B8A6_F22EE8B67EB1_.wvu.FilterData" localSheetId="2" hidden="1">' Профілактика (Конкурс)  Альянс'!$A$3:$AQ$5</definedName>
    <definedName name="Z_C616D1F4_B491_40EC_B8A6_F22EE8B67EB1_.wvu.FilterData" localSheetId="0" hidden="1">'Профілактика(Конкурс+ТЗ) Альянс'!$A$3:$EN$108</definedName>
    <definedName name="Z_C616D1F4_B491_40EC_B8A6_F22EE8B67EB1_.wvu.Rows" localSheetId="2" hidden="1">' Профілактика (Конкурс)  Альянс'!$2:$2,' Профілактика (Конкурс)  Альянс'!#REF!</definedName>
    <definedName name="Z_C616D1F4_B491_40EC_B8A6_F22EE8B67EB1_.wvu.Rows" localSheetId="0" hidden="1">'Профілактика(Конкурс+ТЗ) Альянс'!$2:$2,'Профілактика(Конкурс+ТЗ) Альянс'!$147:$150</definedName>
    <definedName name="Z_CA158980_46B6_41E8_A7FB_5833D3AED283_.wvu.FilterData" localSheetId="2" hidden="1">' Профілактика (Конкурс)  Альянс'!$A$3:$R$5</definedName>
    <definedName name="Z_CA158980_46B6_41E8_A7FB_5833D3AED283_.wvu.FilterData" localSheetId="0" hidden="1">'Профілактика(Конкурс+ТЗ) Альянс'!$A$3:$DO$108</definedName>
    <definedName name="Z_CDF3CC0F_5433_48B5_9BE0_9EC985F53C69_.wvu.FilterData" localSheetId="2" hidden="1">' Профілактика (Конкурс)  Альянс'!$A$3:$R$5</definedName>
    <definedName name="Z_CDF3CC0F_5433_48B5_9BE0_9EC985F53C69_.wvu.FilterData" localSheetId="0" hidden="1">'Профілактика(Конкурс+ТЗ) Альянс'!$A$3:$DO$108</definedName>
    <definedName name="Z_CF8756F7_1C67_4447_8960_36638E495E5E_.wvu.FilterData" localSheetId="2" hidden="1">' Профілактика (Конкурс)  Альянс'!$A$3:$AQ$5</definedName>
    <definedName name="Z_DC613402_E68B_4BCE_A6F9_992FDFE3DBE8_.wvu.FilterData" localSheetId="2" hidden="1">' Профілактика (Конкурс)  Альянс'!$A$3:$R$5</definedName>
    <definedName name="Z_DC613402_E68B_4BCE_A6F9_992FDFE3DBE8_.wvu.FilterData" localSheetId="0" hidden="1">'Профілактика(Конкурс+ТЗ) Альянс'!$A$3:$DO$108</definedName>
    <definedName name="Z_DFD70B00_8716_4DC4_B27F_F830CC3CA79B_.wvu.FilterData" localSheetId="2" hidden="1">' Профілактика (Конкурс)  Альянс'!$A$3:$R$5</definedName>
    <definedName name="Z_DFD70B00_8716_4DC4_B27F_F830CC3CA79B_.wvu.FilterData" localSheetId="0" hidden="1">'Профілактика(Конкурс+ТЗ) Альянс'!$A$3:$DO$108</definedName>
    <definedName name="Z_E1D3B8F6_05A7_4ED1_9CE3_E37775787FAC_.wvu.FilterData" localSheetId="2" hidden="1">' Профілактика (Конкурс)  Альянс'!$A$3:$R$5</definedName>
    <definedName name="Z_E1D3B8F6_05A7_4ED1_9CE3_E37775787FAC_.wvu.FilterData" localSheetId="0" hidden="1">'Профілактика(Конкурс+ТЗ) Альянс'!$A$3:$DO$108</definedName>
    <definedName name="Z_E27237AE_559F_4D49_A253_EDDD971F72A7_.wvu.FilterData" localSheetId="2" hidden="1">' Профілактика (Конкурс)  Альянс'!$A$3:$R$5</definedName>
    <definedName name="Z_E27237AE_559F_4D49_A253_EDDD971F72A7_.wvu.FilterData" localSheetId="0" hidden="1">'Профілактика(Конкурс+ТЗ) Альянс'!$A$3:$DO$108</definedName>
    <definedName name="Z_E41A88FD_CC92_4A1F_9504_0045760EABDE_.wvu.FilterData" localSheetId="2" hidden="1">' Профілактика (Конкурс)  Альянс'!$A$3:$AQ$5</definedName>
    <definedName name="Z_E9C0A606_5DC5_4A94_B7CA_87BC1600374D_.wvu.Cols" localSheetId="2" hidden="1">' Профілактика (Конкурс)  Альянс'!#REF!</definedName>
    <definedName name="Z_E9C0A606_5DC5_4A94_B7CA_87BC1600374D_.wvu.Cols" localSheetId="0" hidden="1">'Профілактика(Конкурс+ТЗ) Альянс'!$D:$J</definedName>
    <definedName name="Z_E9C0A606_5DC5_4A94_B7CA_87BC1600374D_.wvu.FilterData" localSheetId="2" hidden="1">' Профілактика (Конкурс)  Альянс'!$A$3:$R$5</definedName>
    <definedName name="Z_E9C0A606_5DC5_4A94_B7CA_87BC1600374D_.wvu.FilterData" localSheetId="0" hidden="1">'Профілактика(Конкурс+ТЗ) Альянс'!$A$3:$DO$108</definedName>
    <definedName name="Z_E9C0A606_5DC5_4A94_B7CA_87BC1600374D_.wvu.Rows" localSheetId="2" hidden="1">' Профілактика (Конкурс)  Альянс'!$2:$2,' Профілактика (Конкурс)  Альянс'!#REF!</definedName>
    <definedName name="Z_E9C0A606_5DC5_4A94_B7CA_87BC1600374D_.wvu.Rows" localSheetId="0" hidden="1">'Профілактика(Конкурс+ТЗ) Альянс'!$2:$2,'Профілактика(Конкурс+ТЗ) Альянс'!$147:$150</definedName>
    <definedName name="Z_EA954A94_0925_4B55_A5F9_D4174EC390C8_.wvu.Cols" localSheetId="0" hidden="1">'Профілактика(Конкурс+ТЗ) Альянс'!$D:$J</definedName>
    <definedName name="Z_EA954A94_0925_4B55_A5F9_D4174EC390C8_.wvu.FilterData" localSheetId="2" hidden="1">' Профілактика (Конкурс)  Альянс'!$A$3:$AQ$5</definedName>
    <definedName name="Z_EA954A94_0925_4B55_A5F9_D4174EC390C8_.wvu.FilterData" localSheetId="0" hidden="1">'Профілактика(Конкурс+ТЗ) Альянс'!$A$3:$EN$108</definedName>
    <definedName name="Z_EA954A94_0925_4B55_A5F9_D4174EC390C8_.wvu.PrintArea" localSheetId="0" hidden="1">'Профілактика(Конкурс+ТЗ) Альянс'!$A$1:$DO$90</definedName>
    <definedName name="Z_EA954A94_0925_4B55_A5F9_D4174EC390C8_.wvu.Rows" localSheetId="0" hidden="1">'Профілактика(Конкурс+ТЗ) Альянс'!$2:$2,'Профілактика(Конкурс+ТЗ) Альянс'!$109:$142,'Профілактика(Конкурс+ТЗ) Альянс'!$147:$150</definedName>
    <definedName name="Z_EF46AD9B_A6F2_4EF9_8BF2_623B84E0B9B1_.wvu.FilterData" localSheetId="2" hidden="1">' Профілактика (Конкурс)  Альянс'!$A$3:$AQ$5</definedName>
    <definedName name="Z_F4E9F334_BED9_4050_9A85_7B2DB96FD67C_.wvu.FilterData" localSheetId="2" hidden="1">' Профілактика (Конкурс)  Альянс'!$A$3:$R$5</definedName>
    <definedName name="Z_F4E9F334_BED9_4050_9A85_7B2DB96FD67C_.wvu.FilterData" localSheetId="0" hidden="1">'Профілактика(Конкурс+ТЗ) Альянс'!$A$3:$DO$108</definedName>
    <definedName name="Z_F6AAF6A9_9387_4741_BA60_CB5FAD441347_.wvu.FilterData" localSheetId="2" hidden="1">' Профілактика (Конкурс)  Альянс'!$A$3:$R$5</definedName>
    <definedName name="Z_F6AAF6A9_9387_4741_BA60_CB5FAD441347_.wvu.FilterData" localSheetId="0" hidden="1">'Профілактика(Конкурс+ТЗ) Альянс'!$A$3:$DO$108</definedName>
    <definedName name="Z_FB98ECC4_3452_4015_BCB5_4312F5C70891_.wvu.FilterData" localSheetId="2" hidden="1">' Профілактика (Конкурс)  Альянс'!$A$3:$R$5</definedName>
    <definedName name="Z_FB98ECC4_3452_4015_BCB5_4312F5C70891_.wvu.FilterData" localSheetId="0" hidden="1">'Профілактика(Конкурс+ТЗ) Альянс'!$A$3:$DO$108</definedName>
    <definedName name="Z_FFBF0A58_41A8_40E1_9590_E79A2765F991_.wvu.FilterData" localSheetId="2" hidden="1">' Профілактика (Конкурс)  Альянс'!$A$3:$R$5</definedName>
    <definedName name="Z_FFBF0A58_41A8_40E1_9590_E79A2765F991_.wvu.FilterData" localSheetId="0" hidden="1">'Профілактика(Конкурс+ТЗ) Альянс'!$A$3:$DO$108</definedName>
    <definedName name="_xlnm.Print_Area" localSheetId="2">' Профілактика (Конкурс)  Альянс'!$A$1:$R$5</definedName>
    <definedName name="_xlnm.Print_Area" localSheetId="1">'ДКП_PrEP Альянс'!$A$1:$E$28</definedName>
    <definedName name="_xlnm.Print_Area" localSheetId="0">'Профілактика(Конкурс+ТЗ) Альянс'!$A$1:$DO$90</definedName>
  </definedNames>
  <calcPr calcId="144525"/>
  <customWorkbookViews>
    <customWorkbookView name="Kononkova Oksana - Личное представление" guid="{8442AA88-ADEF-4FA4-A0EE-6766316D434A}" mergeInterval="0" personalView="1" maximized="1" xWindow="-8" yWindow="-8" windowWidth="1936" windowHeight="1176" activeSheetId="2"/>
    <customWorkbookView name="Dolechek Olga - Личное представление" guid="{EA954A94-0925-4B55-A5F9-D4174EC390C8}" mergeInterval="0" personalView="1" maximized="1" windowWidth="1676" windowHeight="825" activeSheetId="3"/>
    <customWorkbookView name="Isakov Viktor - Личное представление" guid="{34FA952C-E72B-48B6-AF96-087503123C99}" mergeInterval="0" personalView="1" maximized="1" xWindow="-8" yWindow="-8" windowWidth="1696" windowHeight="1026" tabRatio="790" activeSheetId="2"/>
    <customWorkbookView name="Mangatova Kateryna - Личное представление" guid="{90D94AD3-72F0-4571-90B7-50B859C4832B}" mergeInterval="0" personalView="1" maximized="1" windowWidth="1916" windowHeight="855" tabRatio="727" activeSheetId="7"/>
    <customWorkbookView name="Yatsyk Vira - Личное представление" guid="{C616D1F4-B491-40EC-B8A6-F22EE8B67EB1}" mergeInterval="0" personalView="1" maximized="1" windowWidth="1676" windowHeight="771" activeSheetId="2"/>
    <customWorkbookView name="Kateryna - Личное представление" guid="{9A0104B0-F551-4E35-9005-529246A42B63}" mergeInterval="0" personalView="1" maximized="1" xWindow="-9" yWindow="-9" windowWidth="1938" windowHeight="1050" activeSheetId="2"/>
    <customWorkbookView name="Boyko Kateryna - Личное представление" guid="{66424F04-DED9-4775-B8F7-EDB98EA20D13}" mergeInterval="0" personalView="1" maximized="1" xWindow="-8" yWindow="-8" windowWidth="1936" windowHeight="1176" activeSheetId="2"/>
    <customWorkbookView name="Vilyura Khrystyna - Личное представление" guid="{65F91D89-B5C2-4C38-9AB6-45CF0E91182A}" mergeInterval="0" personalView="1" xWindow="854" yWindow="24" windowWidth="1061" windowHeight="818" activeSheetId="2"/>
    <customWorkbookView name="Yanhol Nadiya - Личное представление" guid="{E9C0A606-5DC5-4A94-B7CA-87BC1600374D}" mergeInterval="0" personalView="1" maximized="1" xWindow="-8" yWindow="-8" windowWidth="1696" windowHeight="1026" activeSheetId="2"/>
  </customWorkbookViews>
</workbook>
</file>

<file path=xl/calcChain.xml><?xml version="1.0" encoding="utf-8"?>
<calcChain xmlns="http://schemas.openxmlformats.org/spreadsheetml/2006/main">
  <c r="P5" i="2" l="1"/>
  <c r="N5" i="2"/>
  <c r="E4" i="6" l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8" i="6" s="1"/>
  <c r="E24" i="6"/>
  <c r="E25" i="6"/>
  <c r="E26" i="6"/>
  <c r="E27" i="6"/>
  <c r="E3" i="6"/>
  <c r="B28" i="6"/>
  <c r="J4" i="2" l="1"/>
  <c r="L4" i="2" s="1"/>
  <c r="C4" i="2"/>
  <c r="G4" i="2" s="1"/>
  <c r="J5" i="2" l="1"/>
  <c r="M4" i="2"/>
  <c r="L5" i="2"/>
  <c r="I4" i="2"/>
  <c r="I5" i="2" s="1"/>
  <c r="G5" i="2"/>
  <c r="C5" i="2"/>
  <c r="F4" i="2"/>
  <c r="F5" i="2" s="1"/>
  <c r="E4" i="2"/>
  <c r="E5" i="2" s="1"/>
  <c r="M5" i="2" l="1"/>
  <c r="R5" i="2"/>
  <c r="DN149" i="1" l="1"/>
  <c r="DK149" i="1"/>
  <c r="DH149" i="1"/>
  <c r="DE149" i="1"/>
  <c r="DB149" i="1"/>
  <c r="CY149" i="1"/>
  <c r="CV149" i="1"/>
  <c r="CS149" i="1"/>
  <c r="CP149" i="1"/>
  <c r="CM149" i="1"/>
  <c r="CL149" i="1"/>
  <c r="CJ149" i="1"/>
  <c r="F149" i="1"/>
  <c r="D149" i="1"/>
  <c r="EN125" i="1"/>
  <c r="EM125" i="1"/>
  <c r="EL125" i="1"/>
  <c r="EK125" i="1"/>
  <c r="EJ125" i="1"/>
  <c r="EI125" i="1"/>
  <c r="EH125" i="1"/>
  <c r="EG125" i="1"/>
  <c r="EF125" i="1"/>
  <c r="EE125" i="1"/>
  <c r="ED125" i="1"/>
  <c r="EC125" i="1"/>
  <c r="EB125" i="1"/>
  <c r="EA125" i="1"/>
  <c r="DZ125" i="1"/>
  <c r="DY125" i="1"/>
  <c r="DX125" i="1"/>
  <c r="DW125" i="1"/>
  <c r="DV125" i="1"/>
  <c r="DU125" i="1"/>
  <c r="DT125" i="1"/>
  <c r="DS125" i="1"/>
  <c r="DR125" i="1"/>
  <c r="DQ125" i="1"/>
  <c r="DP125" i="1"/>
  <c r="DO125" i="1"/>
  <c r="DN125" i="1"/>
  <c r="DM125" i="1"/>
  <c r="DL125" i="1"/>
  <c r="DK125" i="1"/>
  <c r="DJ125" i="1"/>
  <c r="DI125" i="1"/>
  <c r="DH125" i="1"/>
  <c r="DG125" i="1"/>
  <c r="DF125" i="1"/>
  <c r="DE125" i="1"/>
  <c r="DD125" i="1"/>
  <c r="DC125" i="1"/>
  <c r="DB125" i="1"/>
  <c r="DA125" i="1"/>
  <c r="CZ125" i="1"/>
  <c r="CY125" i="1"/>
  <c r="CX125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I125" i="1"/>
  <c r="CH125" i="1"/>
  <c r="CG125" i="1"/>
  <c r="CF125" i="1"/>
  <c r="CE125" i="1"/>
  <c r="CD125" i="1"/>
  <c r="CC125" i="1"/>
  <c r="CB125" i="1"/>
  <c r="CA125" i="1"/>
  <c r="BZ125" i="1"/>
  <c r="BY125" i="1"/>
  <c r="BX125" i="1"/>
  <c r="BW125" i="1"/>
  <c r="BV125" i="1"/>
  <c r="BU125" i="1"/>
  <c r="BT125" i="1"/>
  <c r="BS125" i="1"/>
  <c r="BR125" i="1"/>
  <c r="BQ125" i="1"/>
  <c r="BP125" i="1"/>
  <c r="BO125" i="1"/>
  <c r="BN125" i="1"/>
  <c r="BM125" i="1"/>
  <c r="BL125" i="1"/>
  <c r="BK125" i="1"/>
  <c r="BJ125" i="1"/>
  <c r="BI125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EM124" i="1"/>
  <c r="EL124" i="1"/>
  <c r="EK124" i="1"/>
  <c r="EJ124" i="1"/>
  <c r="EI124" i="1"/>
  <c r="EH124" i="1"/>
  <c r="EG124" i="1"/>
  <c r="EF124" i="1"/>
  <c r="EE124" i="1"/>
  <c r="ED124" i="1"/>
  <c r="EC124" i="1"/>
  <c r="EB124" i="1"/>
  <c r="EA124" i="1"/>
  <c r="DZ124" i="1"/>
  <c r="DY124" i="1"/>
  <c r="DX124" i="1"/>
  <c r="DW124" i="1"/>
  <c r="DV124" i="1"/>
  <c r="DU124" i="1"/>
  <c r="DT124" i="1"/>
  <c r="DS124" i="1"/>
  <c r="DR124" i="1"/>
  <c r="DQ124" i="1"/>
  <c r="DP124" i="1"/>
  <c r="DN124" i="1"/>
  <c r="DM124" i="1"/>
  <c r="DK124" i="1"/>
  <c r="DJ124" i="1"/>
  <c r="DH124" i="1"/>
  <c r="DG124" i="1"/>
  <c r="DE124" i="1"/>
  <c r="DD124" i="1"/>
  <c r="DB124" i="1"/>
  <c r="DA124" i="1"/>
  <c r="CY124" i="1"/>
  <c r="CX124" i="1"/>
  <c r="CV124" i="1"/>
  <c r="CU124" i="1"/>
  <c r="CS124" i="1"/>
  <c r="CR124" i="1"/>
  <c r="CP124" i="1"/>
  <c r="CO124" i="1"/>
  <c r="CN124" i="1"/>
  <c r="CM124" i="1"/>
  <c r="CL124" i="1"/>
  <c r="CJ124" i="1"/>
  <c r="CI124" i="1"/>
  <c r="CH124" i="1"/>
  <c r="CG124" i="1"/>
  <c r="CF124" i="1"/>
  <c r="CE124" i="1"/>
  <c r="CD124" i="1"/>
  <c r="CC124" i="1"/>
  <c r="CB124" i="1"/>
  <c r="CA124" i="1"/>
  <c r="BY124" i="1"/>
  <c r="BX124" i="1"/>
  <c r="BW124" i="1"/>
  <c r="BV124" i="1"/>
  <c r="BU124" i="1"/>
  <c r="BR124" i="1"/>
  <c r="BQ124" i="1"/>
  <c r="BP124" i="1"/>
  <c r="BO124" i="1"/>
  <c r="BD124" i="1"/>
  <c r="AX124" i="1"/>
  <c r="AV124" i="1"/>
  <c r="AU124" i="1"/>
  <c r="AJ124" i="1"/>
  <c r="AD124" i="1"/>
  <c r="AB124" i="1"/>
  <c r="AA124" i="1"/>
  <c r="Z124" i="1"/>
  <c r="X124" i="1"/>
  <c r="L124" i="1"/>
  <c r="EN123" i="1"/>
  <c r="EM123" i="1"/>
  <c r="EL123" i="1"/>
  <c r="EK123" i="1"/>
  <c r="EK126" i="1" s="1"/>
  <c r="EJ123" i="1"/>
  <c r="EI123" i="1"/>
  <c r="EH123" i="1"/>
  <c r="EG123" i="1"/>
  <c r="EG126" i="1" s="1"/>
  <c r="EF123" i="1"/>
  <c r="EE123" i="1"/>
  <c r="ED123" i="1"/>
  <c r="EC123" i="1"/>
  <c r="EC126" i="1" s="1"/>
  <c r="EB123" i="1"/>
  <c r="EA123" i="1"/>
  <c r="DZ123" i="1"/>
  <c r="DY123" i="1"/>
  <c r="DY126" i="1" s="1"/>
  <c r="DX123" i="1"/>
  <c r="DW123" i="1"/>
  <c r="DV123" i="1"/>
  <c r="DU123" i="1"/>
  <c r="DU126" i="1" s="1"/>
  <c r="DT123" i="1"/>
  <c r="DS123" i="1"/>
  <c r="DR123" i="1"/>
  <c r="DQ123" i="1"/>
  <c r="DQ126" i="1" s="1"/>
  <c r="DP123" i="1"/>
  <c r="DN123" i="1"/>
  <c r="DN126" i="1" s="1"/>
  <c r="DK123" i="1"/>
  <c r="DH123" i="1"/>
  <c r="DH126" i="1" s="1"/>
  <c r="DE123" i="1"/>
  <c r="DB123" i="1"/>
  <c r="DB126" i="1" s="1"/>
  <c r="CY123" i="1"/>
  <c r="CV123" i="1"/>
  <c r="CV126" i="1" s="1"/>
  <c r="CS123" i="1"/>
  <c r="CP123" i="1"/>
  <c r="CP126" i="1" s="1"/>
  <c r="CM123" i="1"/>
  <c r="CL123" i="1"/>
  <c r="CL126" i="1" s="1"/>
  <c r="CJ123" i="1"/>
  <c r="CI123" i="1"/>
  <c r="BY123" i="1"/>
  <c r="BY126" i="1" s="1"/>
  <c r="BW123" i="1"/>
  <c r="BV123" i="1"/>
  <c r="BU123" i="1"/>
  <c r="BR123" i="1"/>
  <c r="BQ123" i="1"/>
  <c r="BQ126" i="1" s="1"/>
  <c r="BP123" i="1"/>
  <c r="BO123" i="1"/>
  <c r="BD123" i="1"/>
  <c r="AX123" i="1"/>
  <c r="AX126" i="1" s="1"/>
  <c r="AV123" i="1"/>
  <c r="AU123" i="1"/>
  <c r="AJ123" i="1"/>
  <c r="AD123" i="1"/>
  <c r="AD126" i="1" s="1"/>
  <c r="AB123" i="1"/>
  <c r="AA123" i="1"/>
  <c r="Z123" i="1"/>
  <c r="X123" i="1"/>
  <c r="X126" i="1" s="1"/>
  <c r="L123" i="1"/>
  <c r="AU112" i="1"/>
  <c r="AY111" i="1" s="1"/>
  <c r="BA111" i="1" s="1"/>
  <c r="Z112" i="1"/>
  <c r="D112" i="1"/>
  <c r="B112" i="1"/>
  <c r="BI111" i="1"/>
  <c r="AW111" i="1"/>
  <c r="AC111" i="1"/>
  <c r="K111" i="1"/>
  <c r="I111" i="1"/>
  <c r="Q111" i="1" s="1"/>
  <c r="E111" i="1"/>
  <c r="AW110" i="1"/>
  <c r="AC110" i="1"/>
  <c r="K110" i="1"/>
  <c r="G110" i="1"/>
  <c r="I110" i="1" s="1"/>
  <c r="Q110" i="1" s="1"/>
  <c r="E110" i="1"/>
  <c r="I107" i="1"/>
  <c r="Z106" i="1"/>
  <c r="Z108" i="1" s="1"/>
  <c r="D106" i="1"/>
  <c r="B106" i="1"/>
  <c r="B108" i="1" s="1"/>
  <c r="AE105" i="1"/>
  <c r="AF105" i="1" s="1"/>
  <c r="Q105" i="1"/>
  <c r="R105" i="1" s="1"/>
  <c r="J105" i="1"/>
  <c r="E105" i="1"/>
  <c r="AV104" i="1"/>
  <c r="AB104" i="1"/>
  <c r="AO104" i="1" s="1"/>
  <c r="AP104" i="1" s="1"/>
  <c r="Q104" i="1"/>
  <c r="D104" i="1"/>
  <c r="E104" i="1" s="1"/>
  <c r="AW103" i="1"/>
  <c r="AO103" i="1"/>
  <c r="AG103" i="1"/>
  <c r="AE103" i="1"/>
  <c r="AF103" i="1" s="1"/>
  <c r="AC103" i="1"/>
  <c r="I103" i="1"/>
  <c r="G103" i="1"/>
  <c r="E103" i="1"/>
  <c r="AW102" i="1"/>
  <c r="AC102" i="1"/>
  <c r="I102" i="1"/>
  <c r="I108" i="1" s="1"/>
  <c r="E102" i="1"/>
  <c r="AV101" i="1"/>
  <c r="AB101" i="1"/>
  <c r="AG101" i="1" s="1"/>
  <c r="AH101" i="1" s="1"/>
  <c r="Q101" i="1"/>
  <c r="Q107" i="1" s="1"/>
  <c r="K101" i="1"/>
  <c r="D101" i="1"/>
  <c r="J101" i="1" s="1"/>
  <c r="BJ100" i="1"/>
  <c r="BI100" i="1"/>
  <c r="BI106" i="1" s="1"/>
  <c r="BA100" i="1"/>
  <c r="AY100" i="1"/>
  <c r="AZ100" i="1" s="1"/>
  <c r="AW100" i="1"/>
  <c r="AO100" i="1"/>
  <c r="AP100" i="1" s="1"/>
  <c r="AG100" i="1"/>
  <c r="AE100" i="1"/>
  <c r="AF100" i="1" s="1"/>
  <c r="AC100" i="1"/>
  <c r="Q100" i="1"/>
  <c r="J100" i="1"/>
  <c r="G100" i="1"/>
  <c r="G102" i="1" s="1"/>
  <c r="E100" i="1"/>
  <c r="DN99" i="1"/>
  <c r="DK99" i="1"/>
  <c r="DH99" i="1"/>
  <c r="DE99" i="1"/>
  <c r="DB99" i="1"/>
  <c r="CY99" i="1"/>
  <c r="CV99" i="1"/>
  <c r="CS99" i="1"/>
  <c r="CP99" i="1"/>
  <c r="CM99" i="1"/>
  <c r="CL99" i="1"/>
  <c r="CJ99" i="1"/>
  <c r="CI99" i="1"/>
  <c r="BY99" i="1"/>
  <c r="BW99" i="1"/>
  <c r="BV99" i="1"/>
  <c r="BU99" i="1"/>
  <c r="BR99" i="1"/>
  <c r="BQ99" i="1"/>
  <c r="BP99" i="1"/>
  <c r="BO99" i="1"/>
  <c r="BD99" i="1"/>
  <c r="AX99" i="1"/>
  <c r="AV99" i="1"/>
  <c r="AU99" i="1"/>
  <c r="AJ99" i="1"/>
  <c r="AD99" i="1"/>
  <c r="AB99" i="1"/>
  <c r="AA99" i="1"/>
  <c r="Z99" i="1"/>
  <c r="X99" i="1"/>
  <c r="L99" i="1"/>
  <c r="CD98" i="1"/>
  <c r="BW98" i="1"/>
  <c r="BU98" i="1"/>
  <c r="BI98" i="1"/>
  <c r="BA98" i="1"/>
  <c r="AO98" i="1"/>
  <c r="AG98" i="1"/>
  <c r="Q98" i="1"/>
  <c r="N98" i="1"/>
  <c r="K98" i="1"/>
  <c r="I98" i="1"/>
  <c r="R97" i="1"/>
  <c r="J97" i="1"/>
  <c r="H97" i="1"/>
  <c r="AY96" i="1"/>
  <c r="AY98" i="1" s="1"/>
  <c r="AE96" i="1"/>
  <c r="AE98" i="1" s="1"/>
  <c r="R96" i="1"/>
  <c r="J96" i="1"/>
  <c r="G96" i="1"/>
  <c r="G98" i="1" s="1"/>
  <c r="G65" i="1" s="1"/>
  <c r="H65" i="1" s="1"/>
  <c r="BW95" i="1"/>
  <c r="BV95" i="1"/>
  <c r="BU95" i="1"/>
  <c r="DM93" i="1"/>
  <c r="DJ93" i="1"/>
  <c r="DG93" i="1"/>
  <c r="DD93" i="1"/>
  <c r="DA93" i="1"/>
  <c r="CX93" i="1"/>
  <c r="CU93" i="1"/>
  <c r="CR93" i="1"/>
  <c r="CO93" i="1"/>
  <c r="CH93" i="1"/>
  <c r="CG93" i="1"/>
  <c r="CF93" i="1"/>
  <c r="CE93" i="1"/>
  <c r="CD93" i="1"/>
  <c r="CC93" i="1"/>
  <c r="CA93" i="1"/>
  <c r="BY93" i="1"/>
  <c r="BW93" i="1"/>
  <c r="BV93" i="1"/>
  <c r="BU93" i="1"/>
  <c r="BR93" i="1"/>
  <c r="BQ93" i="1"/>
  <c r="BP93" i="1"/>
  <c r="BO93" i="1"/>
  <c r="BD93" i="1"/>
  <c r="AX93" i="1"/>
  <c r="AV93" i="1"/>
  <c r="AU93" i="1"/>
  <c r="AJ93" i="1"/>
  <c r="AD93" i="1"/>
  <c r="AB93" i="1"/>
  <c r="AA93" i="1"/>
  <c r="Z93" i="1"/>
  <c r="BY92" i="1"/>
  <c r="BW92" i="1"/>
  <c r="BV92" i="1"/>
  <c r="BU92" i="1"/>
  <c r="BR92" i="1"/>
  <c r="BQ92" i="1"/>
  <c r="BP92" i="1"/>
  <c r="BO92" i="1"/>
  <c r="BD92" i="1"/>
  <c r="AX92" i="1"/>
  <c r="AV92" i="1"/>
  <c r="AU92" i="1"/>
  <c r="AJ92" i="1"/>
  <c r="AD92" i="1"/>
  <c r="AB92" i="1"/>
  <c r="AA92" i="1"/>
  <c r="Z92" i="1"/>
  <c r="CI91" i="1"/>
  <c r="CI149" i="1" s="1"/>
  <c r="BY91" i="1"/>
  <c r="BY149" i="1" s="1"/>
  <c r="BW91" i="1"/>
  <c r="BW149" i="1" s="1"/>
  <c r="BV91" i="1"/>
  <c r="BV149" i="1" s="1"/>
  <c r="BU91" i="1"/>
  <c r="BU149" i="1" s="1"/>
  <c r="BR91" i="1"/>
  <c r="BR149" i="1" s="1"/>
  <c r="BQ91" i="1"/>
  <c r="BQ149" i="1" s="1"/>
  <c r="BP91" i="1"/>
  <c r="BP149" i="1" s="1"/>
  <c r="BO91" i="1"/>
  <c r="BO149" i="1" s="1"/>
  <c r="BD91" i="1"/>
  <c r="BD149" i="1" s="1"/>
  <c r="AX91" i="1"/>
  <c r="AX149" i="1" s="1"/>
  <c r="AV91" i="1"/>
  <c r="AU91" i="1"/>
  <c r="AU149" i="1" s="1"/>
  <c r="AJ91" i="1"/>
  <c r="AJ149" i="1" s="1"/>
  <c r="AD91" i="1"/>
  <c r="AD149" i="1" s="1"/>
  <c r="AB91" i="1"/>
  <c r="Z91" i="1"/>
  <c r="Z149" i="1" s="1"/>
  <c r="L91" i="1"/>
  <c r="L149" i="1" s="1"/>
  <c r="E91" i="1"/>
  <c r="E149" i="1" s="1"/>
  <c r="DO90" i="1"/>
  <c r="DL90" i="1"/>
  <c r="DI90" i="1"/>
  <c r="DF90" i="1"/>
  <c r="DC90" i="1"/>
  <c r="CZ90" i="1"/>
  <c r="CW90" i="1"/>
  <c r="CT90" i="1"/>
  <c r="CQ90" i="1"/>
  <c r="W90" i="1"/>
  <c r="Y90" i="1" s="1"/>
  <c r="M90" i="1"/>
  <c r="DO89" i="1"/>
  <c r="DL89" i="1"/>
  <c r="DI89" i="1"/>
  <c r="DF89" i="1"/>
  <c r="DC89" i="1"/>
  <c r="CZ89" i="1"/>
  <c r="CW89" i="1"/>
  <c r="CT89" i="1"/>
  <c r="CQ89" i="1"/>
  <c r="W89" i="1"/>
  <c r="Y89" i="1" s="1"/>
  <c r="M89" i="1"/>
  <c r="DO88" i="1"/>
  <c r="DL88" i="1"/>
  <c r="DI88" i="1"/>
  <c r="DF88" i="1"/>
  <c r="DC88" i="1"/>
  <c r="CZ88" i="1"/>
  <c r="CW88" i="1"/>
  <c r="CT88" i="1"/>
  <c r="CQ88" i="1"/>
  <c r="W88" i="1"/>
  <c r="Y88" i="1" s="1"/>
  <c r="M88" i="1"/>
  <c r="DO87" i="1"/>
  <c r="DL87" i="1"/>
  <c r="DI87" i="1"/>
  <c r="DF87" i="1"/>
  <c r="DC87" i="1"/>
  <c r="CZ87" i="1"/>
  <c r="CW87" i="1"/>
  <c r="CT87" i="1"/>
  <c r="CQ87" i="1"/>
  <c r="W87" i="1"/>
  <c r="Y87" i="1" s="1"/>
  <c r="M87" i="1"/>
  <c r="DO86" i="1"/>
  <c r="DL86" i="1"/>
  <c r="DI86" i="1"/>
  <c r="DF86" i="1"/>
  <c r="DC86" i="1"/>
  <c r="CZ86" i="1"/>
  <c r="CW86" i="1"/>
  <c r="CT86" i="1"/>
  <c r="CQ86" i="1"/>
  <c r="CK86" i="1"/>
  <c r="CB86" i="1"/>
  <c r="BZ86" i="1"/>
  <c r="W86" i="1"/>
  <c r="Y86" i="1" s="1"/>
  <c r="M86" i="1"/>
  <c r="DO85" i="1"/>
  <c r="DL85" i="1"/>
  <c r="DI85" i="1"/>
  <c r="DD85" i="1"/>
  <c r="DF85" i="1" s="1"/>
  <c r="DA85" i="1"/>
  <c r="DC85" i="1" s="1"/>
  <c r="CX85" i="1"/>
  <c r="CZ85" i="1" s="1"/>
  <c r="CW85" i="1"/>
  <c r="CT85" i="1"/>
  <c r="CO85" i="1"/>
  <c r="CQ85" i="1" s="1"/>
  <c r="CN85" i="1"/>
  <c r="CK85" i="1"/>
  <c r="CH85" i="1"/>
  <c r="CF85" i="1"/>
  <c r="CE85" i="1"/>
  <c r="CG85" i="1" s="1"/>
  <c r="CC85" i="1"/>
  <c r="CA85" i="1"/>
  <c r="BX85" i="1"/>
  <c r="BZ85" i="1" s="1"/>
  <c r="BT85" i="1"/>
  <c r="BS85" i="1"/>
  <c r="AY85" i="1"/>
  <c r="BA85" i="1" s="1"/>
  <c r="AW85" i="1"/>
  <c r="AO85" i="1"/>
  <c r="AQ85" i="1" s="1"/>
  <c r="AS85" i="1" s="1"/>
  <c r="AG85" i="1"/>
  <c r="AL85" i="1" s="1"/>
  <c r="AE85" i="1"/>
  <c r="AF85" i="1" s="1"/>
  <c r="AC85" i="1"/>
  <c r="Q85" i="1"/>
  <c r="T85" i="1" s="1"/>
  <c r="I85" i="1"/>
  <c r="N85" i="1" s="1"/>
  <c r="E85" i="1"/>
  <c r="DO84" i="1"/>
  <c r="DL84" i="1"/>
  <c r="DI84" i="1"/>
  <c r="DF84" i="1"/>
  <c r="DC84" i="1"/>
  <c r="CZ84" i="1"/>
  <c r="CW84" i="1"/>
  <c r="CT84" i="1"/>
  <c r="CQ84" i="1"/>
  <c r="CN84" i="1"/>
  <c r="CN83" i="1" s="1"/>
  <c r="DO83" i="1"/>
  <c r="DL83" i="1"/>
  <c r="DI83" i="1"/>
  <c r="DF83" i="1"/>
  <c r="DC83" i="1"/>
  <c r="CZ83" i="1"/>
  <c r="CW83" i="1"/>
  <c r="CT83" i="1"/>
  <c r="CQ83" i="1"/>
  <c r="BZ83" i="1"/>
  <c r="BT83" i="1"/>
  <c r="BS83" i="1"/>
  <c r="BI83" i="1"/>
  <c r="BK83" i="1" s="1"/>
  <c r="BM83" i="1" s="1"/>
  <c r="BA83" i="1"/>
  <c r="BB83" i="1" s="1"/>
  <c r="AY83" i="1"/>
  <c r="AZ83" i="1" s="1"/>
  <c r="AW83" i="1"/>
  <c r="AO83" i="1"/>
  <c r="AG83" i="1"/>
  <c r="AH83" i="1" s="1"/>
  <c r="AF83" i="1"/>
  <c r="AC83" i="1"/>
  <c r="Q83" i="1"/>
  <c r="P83" i="1"/>
  <c r="N83" i="1"/>
  <c r="K83" i="1"/>
  <c r="J83" i="1"/>
  <c r="G83" i="1"/>
  <c r="H83" i="1" s="1"/>
  <c r="E83" i="1"/>
  <c r="DO82" i="1"/>
  <c r="DL82" i="1"/>
  <c r="DI82" i="1"/>
  <c r="DF82" i="1"/>
  <c r="DC82" i="1"/>
  <c r="CZ82" i="1"/>
  <c r="CW82" i="1"/>
  <c r="CT82" i="1"/>
  <c r="CQ82" i="1"/>
  <c r="DO81" i="1"/>
  <c r="DL81" i="1"/>
  <c r="DI81" i="1"/>
  <c r="DF81" i="1"/>
  <c r="DC81" i="1"/>
  <c r="CZ81" i="1"/>
  <c r="CW81" i="1"/>
  <c r="CT81" i="1"/>
  <c r="CQ81" i="1"/>
  <c r="CK81" i="1"/>
  <c r="DO80" i="1"/>
  <c r="DL80" i="1"/>
  <c r="DI80" i="1"/>
  <c r="DF80" i="1"/>
  <c r="DC80" i="1"/>
  <c r="CZ80" i="1"/>
  <c r="CW80" i="1"/>
  <c r="CT80" i="1"/>
  <c r="CQ80" i="1"/>
  <c r="CK80" i="1"/>
  <c r="W80" i="1"/>
  <c r="Y80" i="1" s="1"/>
  <c r="DO79" i="1"/>
  <c r="DL79" i="1"/>
  <c r="DI79" i="1"/>
  <c r="DF79" i="1"/>
  <c r="DC79" i="1"/>
  <c r="CZ79" i="1"/>
  <c r="CW79" i="1"/>
  <c r="CT79" i="1"/>
  <c r="CO79" i="1"/>
  <c r="CQ79" i="1" s="1"/>
  <c r="CK79" i="1"/>
  <c r="BZ79" i="1"/>
  <c r="BS79" i="1"/>
  <c r="BI79" i="1"/>
  <c r="BK79" i="1" s="1"/>
  <c r="BM79" i="1" s="1"/>
  <c r="BA79" i="1"/>
  <c r="BB79" i="1" s="1"/>
  <c r="AY79" i="1"/>
  <c r="AZ79" i="1" s="1"/>
  <c r="AW79" i="1"/>
  <c r="AT79" i="1"/>
  <c r="AR79" i="1"/>
  <c r="AQ79" i="1"/>
  <c r="AS79" i="1" s="1"/>
  <c r="AP79" i="1"/>
  <c r="AN79" i="1"/>
  <c r="AL79" i="1"/>
  <c r="AI79" i="1"/>
  <c r="AI82" i="1" s="1"/>
  <c r="AK82" i="1" s="1"/>
  <c r="AH79" i="1"/>
  <c r="AF79" i="1"/>
  <c r="AC79" i="1"/>
  <c r="Q79" i="1"/>
  <c r="V79" i="1" s="1"/>
  <c r="I79" i="1"/>
  <c r="E79" i="1"/>
  <c r="DO78" i="1"/>
  <c r="DL78" i="1"/>
  <c r="DI78" i="1"/>
  <c r="DF78" i="1"/>
  <c r="DC78" i="1"/>
  <c r="CZ78" i="1"/>
  <c r="CW78" i="1"/>
  <c r="CT78" i="1"/>
  <c r="CQ78" i="1"/>
  <c r="CK78" i="1"/>
  <c r="W78" i="1"/>
  <c r="Y78" i="1" s="1"/>
  <c r="O78" i="1"/>
  <c r="DO77" i="1"/>
  <c r="DL77" i="1"/>
  <c r="DI77" i="1"/>
  <c r="DF77" i="1"/>
  <c r="DC77" i="1"/>
  <c r="CZ77" i="1"/>
  <c r="CW77" i="1"/>
  <c r="CT77" i="1"/>
  <c r="CQ77" i="1"/>
  <c r="CK77" i="1"/>
  <c r="W77" i="1"/>
  <c r="Y77" i="1" s="1"/>
  <c r="O77" i="1"/>
  <c r="M77" i="1"/>
  <c r="DO76" i="1"/>
  <c r="DL76" i="1"/>
  <c r="DI76" i="1"/>
  <c r="DF76" i="1"/>
  <c r="DC76" i="1"/>
  <c r="CZ76" i="1"/>
  <c r="CW76" i="1"/>
  <c r="CT76" i="1"/>
  <c r="CQ76" i="1"/>
  <c r="CK76" i="1"/>
  <c r="W76" i="1"/>
  <c r="Y76" i="1" s="1"/>
  <c r="O76" i="1"/>
  <c r="M76" i="1"/>
  <c r="DO75" i="1"/>
  <c r="DL75" i="1"/>
  <c r="DI75" i="1"/>
  <c r="DF75" i="1"/>
  <c r="DC75" i="1"/>
  <c r="CZ75" i="1"/>
  <c r="CW75" i="1"/>
  <c r="CT75" i="1"/>
  <c r="CQ75" i="1"/>
  <c r="CK75" i="1"/>
  <c r="W75" i="1"/>
  <c r="Y75" i="1" s="1"/>
  <c r="O75" i="1"/>
  <c r="M75" i="1"/>
  <c r="DO74" i="1"/>
  <c r="DL74" i="1"/>
  <c r="DI74" i="1"/>
  <c r="DF74" i="1"/>
  <c r="DC74" i="1"/>
  <c r="CZ74" i="1"/>
  <c r="CW74" i="1"/>
  <c r="CT74" i="1"/>
  <c r="CQ74" i="1"/>
  <c r="CK74" i="1"/>
  <c r="W74" i="1"/>
  <c r="Y74" i="1" s="1"/>
  <c r="O74" i="1"/>
  <c r="M74" i="1"/>
  <c r="DO73" i="1"/>
  <c r="DL73" i="1"/>
  <c r="DI73" i="1"/>
  <c r="DF73" i="1"/>
  <c r="DC73" i="1"/>
  <c r="CZ73" i="1"/>
  <c r="CW73" i="1"/>
  <c r="CT73" i="1"/>
  <c r="CO73" i="1"/>
  <c r="CQ73" i="1" s="1"/>
  <c r="CK73" i="1"/>
  <c r="BZ73" i="1"/>
  <c r="BT73" i="1"/>
  <c r="BS73" i="1"/>
  <c r="BA73" i="1"/>
  <c r="BH73" i="1" s="1"/>
  <c r="AY73" i="1"/>
  <c r="AZ73" i="1" s="1"/>
  <c r="AW73" i="1"/>
  <c r="AO73" i="1"/>
  <c r="AG73" i="1"/>
  <c r="AF73" i="1"/>
  <c r="AC73" i="1"/>
  <c r="Q73" i="1"/>
  <c r="S73" i="1" s="1"/>
  <c r="U73" i="1" s="1"/>
  <c r="P73" i="1"/>
  <c r="N73" i="1"/>
  <c r="K73" i="1"/>
  <c r="M73" i="1" s="1"/>
  <c r="J73" i="1"/>
  <c r="G73" i="1"/>
  <c r="H73" i="1" s="1"/>
  <c r="E73" i="1"/>
  <c r="DO72" i="1"/>
  <c r="DL72" i="1"/>
  <c r="DI72" i="1"/>
  <c r="DF72" i="1"/>
  <c r="DC72" i="1"/>
  <c r="CZ72" i="1"/>
  <c r="CW72" i="1"/>
  <c r="CT72" i="1"/>
  <c r="CQ72" i="1"/>
  <c r="CK72" i="1"/>
  <c r="DO71" i="1"/>
  <c r="DL71" i="1"/>
  <c r="DI71" i="1"/>
  <c r="DF71" i="1"/>
  <c r="DC71" i="1"/>
  <c r="CZ71" i="1"/>
  <c r="CW71" i="1"/>
  <c r="CT71" i="1"/>
  <c r="CQ71" i="1"/>
  <c r="CK71" i="1"/>
  <c r="CD71" i="1"/>
  <c r="CH71" i="1" s="1"/>
  <c r="CC71" i="1"/>
  <c r="CA71" i="1"/>
  <c r="BX71" i="1"/>
  <c r="BZ71" i="1" s="1"/>
  <c r="BT71" i="1"/>
  <c r="BS71" i="1"/>
  <c r="BH71" i="1"/>
  <c r="BE71" i="1"/>
  <c r="AW71" i="1"/>
  <c r="AO71" i="1"/>
  <c r="AR71" i="1" s="1"/>
  <c r="AG71" i="1"/>
  <c r="AE71" i="1"/>
  <c r="AF71" i="1" s="1"/>
  <c r="AC71" i="1"/>
  <c r="Q71" i="1"/>
  <c r="S71" i="1" s="1"/>
  <c r="U71" i="1" s="1"/>
  <c r="I71" i="1"/>
  <c r="J71" i="1" s="1"/>
  <c r="E71" i="1"/>
  <c r="DO70" i="1"/>
  <c r="DL70" i="1"/>
  <c r="DI70" i="1"/>
  <c r="DF70" i="1"/>
  <c r="DC70" i="1"/>
  <c r="CZ70" i="1"/>
  <c r="CW70" i="1"/>
  <c r="CT70" i="1"/>
  <c r="CQ70" i="1"/>
  <c r="CK70" i="1"/>
  <c r="DO69" i="1"/>
  <c r="DL69" i="1"/>
  <c r="DI69" i="1"/>
  <c r="DF69" i="1"/>
  <c r="DC69" i="1"/>
  <c r="CZ69" i="1"/>
  <c r="CW69" i="1"/>
  <c r="CT69" i="1"/>
  <c r="CQ69" i="1"/>
  <c r="CK69" i="1"/>
  <c r="CD69" i="1"/>
  <c r="CC69" i="1"/>
  <c r="CA69" i="1"/>
  <c r="BX69" i="1"/>
  <c r="BX70" i="1" s="1"/>
  <c r="BZ70" i="1" s="1"/>
  <c r="BT69" i="1"/>
  <c r="BS69" i="1"/>
  <c r="BA69" i="1"/>
  <c r="BF69" i="1" s="1"/>
  <c r="AY69" i="1"/>
  <c r="AZ69" i="1" s="1"/>
  <c r="AW69" i="1"/>
  <c r="AO69" i="1"/>
  <c r="AR69" i="1" s="1"/>
  <c r="AG69" i="1"/>
  <c r="AE69" i="1"/>
  <c r="AF69" i="1" s="1"/>
  <c r="AC69" i="1"/>
  <c r="Q69" i="1"/>
  <c r="S69" i="1" s="1"/>
  <c r="U69" i="1" s="1"/>
  <c r="I69" i="1"/>
  <c r="J69" i="1" s="1"/>
  <c r="E69" i="1"/>
  <c r="DO68" i="1"/>
  <c r="DL68" i="1"/>
  <c r="DI68" i="1"/>
  <c r="DF68" i="1"/>
  <c r="DC68" i="1"/>
  <c r="CZ68" i="1"/>
  <c r="CW68" i="1"/>
  <c r="CT68" i="1"/>
  <c r="CQ68" i="1"/>
  <c r="CK68" i="1"/>
  <c r="W68" i="1"/>
  <c r="Y68" i="1" s="1"/>
  <c r="O68" i="1"/>
  <c r="M68" i="1"/>
  <c r="DO67" i="1"/>
  <c r="DL67" i="1"/>
  <c r="DI67" i="1"/>
  <c r="DF67" i="1"/>
  <c r="DC67" i="1"/>
  <c r="CZ67" i="1"/>
  <c r="CW67" i="1"/>
  <c r="CT67" i="1"/>
  <c r="CQ67" i="1"/>
  <c r="CK67" i="1"/>
  <c r="W67" i="1"/>
  <c r="Y67" i="1" s="1"/>
  <c r="O67" i="1"/>
  <c r="M67" i="1"/>
  <c r="DO66" i="1"/>
  <c r="DL66" i="1"/>
  <c r="DI66" i="1"/>
  <c r="DF66" i="1"/>
  <c r="DC66" i="1"/>
  <c r="CZ66" i="1"/>
  <c r="CW66" i="1"/>
  <c r="CT66" i="1"/>
  <c r="CQ66" i="1"/>
  <c r="CK66" i="1"/>
  <c r="W66" i="1"/>
  <c r="Y66" i="1" s="1"/>
  <c r="O66" i="1"/>
  <c r="M66" i="1"/>
  <c r="DO65" i="1"/>
  <c r="DL65" i="1"/>
  <c r="DI65" i="1"/>
  <c r="DF65" i="1"/>
  <c r="DC65" i="1"/>
  <c r="CZ65" i="1"/>
  <c r="CW65" i="1"/>
  <c r="CT65" i="1"/>
  <c r="CQ65" i="1"/>
  <c r="CN65" i="1"/>
  <c r="CK65" i="1"/>
  <c r="CD65" i="1"/>
  <c r="CH65" i="1" s="1"/>
  <c r="CC65" i="1"/>
  <c r="CA65" i="1"/>
  <c r="BX65" i="1"/>
  <c r="BZ65" i="1" s="1"/>
  <c r="BT65" i="1"/>
  <c r="BS65" i="1"/>
  <c r="BI65" i="1"/>
  <c r="BA65" i="1"/>
  <c r="BF65" i="1" s="1"/>
  <c r="AZ65" i="1"/>
  <c r="AW65" i="1"/>
  <c r="AE65" i="1"/>
  <c r="AF65" i="1" s="1"/>
  <c r="AC65" i="1"/>
  <c r="Q65" i="1"/>
  <c r="I65" i="1"/>
  <c r="J65" i="1" s="1"/>
  <c r="E65" i="1"/>
  <c r="DO64" i="1"/>
  <c r="DL64" i="1"/>
  <c r="DI64" i="1"/>
  <c r="DF64" i="1"/>
  <c r="DC64" i="1"/>
  <c r="CZ64" i="1"/>
  <c r="CW64" i="1"/>
  <c r="CT64" i="1"/>
  <c r="CQ64" i="1"/>
  <c r="CL64" i="1"/>
  <c r="CK64" i="1"/>
  <c r="W64" i="1"/>
  <c r="Y64" i="1" s="1"/>
  <c r="O64" i="1"/>
  <c r="M64" i="1"/>
  <c r="DO63" i="1"/>
  <c r="DL63" i="1"/>
  <c r="DI63" i="1"/>
  <c r="DF63" i="1"/>
  <c r="DC63" i="1"/>
  <c r="CZ63" i="1"/>
  <c r="CW63" i="1"/>
  <c r="CT63" i="1"/>
  <c r="CQ63" i="1"/>
  <c r="CK63" i="1"/>
  <c r="CD63" i="1"/>
  <c r="CH63" i="1" s="1"/>
  <c r="CC63" i="1"/>
  <c r="CA63" i="1"/>
  <c r="BX63" i="1"/>
  <c r="BX64" i="1" s="1"/>
  <c r="CB64" i="1" s="1"/>
  <c r="BT63" i="1"/>
  <c r="BS63" i="1"/>
  <c r="BI63" i="1"/>
  <c r="BL63" i="1" s="1"/>
  <c r="BA63" i="1"/>
  <c r="AY63" i="1"/>
  <c r="AZ63" i="1" s="1"/>
  <c r="AW63" i="1"/>
  <c r="AO63" i="1"/>
  <c r="AR63" i="1" s="1"/>
  <c r="AE63" i="1"/>
  <c r="AF63" i="1" s="1"/>
  <c r="AC63" i="1"/>
  <c r="Q63" i="1"/>
  <c r="I63" i="1"/>
  <c r="J63" i="1" s="1"/>
  <c r="E63" i="1"/>
  <c r="DO62" i="1"/>
  <c r="DL62" i="1"/>
  <c r="DI62" i="1"/>
  <c r="DF62" i="1"/>
  <c r="DC62" i="1"/>
  <c r="CZ62" i="1"/>
  <c r="CW62" i="1"/>
  <c r="CT62" i="1"/>
  <c r="CQ62" i="1"/>
  <c r="CK62" i="1"/>
  <c r="BZ62" i="1"/>
  <c r="BS62" i="1"/>
  <c r="BI62" i="1"/>
  <c r="BK62" i="1" s="1"/>
  <c r="BM62" i="1" s="1"/>
  <c r="BH62" i="1"/>
  <c r="BF62" i="1"/>
  <c r="BC62" i="1"/>
  <c r="BB62" i="1"/>
  <c r="AY62" i="1"/>
  <c r="AZ62" i="1" s="1"/>
  <c r="AW62" i="1"/>
  <c r="AO62" i="1"/>
  <c r="AE62" i="1"/>
  <c r="AG62" i="1" s="1"/>
  <c r="AH62" i="1" s="1"/>
  <c r="AC62" i="1"/>
  <c r="Q62" i="1"/>
  <c r="I62" i="1"/>
  <c r="P62" i="1" s="1"/>
  <c r="E62" i="1"/>
  <c r="DO61" i="1"/>
  <c r="DL61" i="1"/>
  <c r="DI61" i="1"/>
  <c r="DF61" i="1"/>
  <c r="DC61" i="1"/>
  <c r="CZ61" i="1"/>
  <c r="CW61" i="1"/>
  <c r="CT61" i="1"/>
  <c r="CQ61" i="1"/>
  <c r="CK61" i="1"/>
  <c r="W61" i="1"/>
  <c r="Y61" i="1" s="1"/>
  <c r="O61" i="1"/>
  <c r="M61" i="1"/>
  <c r="DO60" i="1"/>
  <c r="DL60" i="1"/>
  <c r="DI60" i="1"/>
  <c r="DF60" i="1"/>
  <c r="DC60" i="1"/>
  <c r="CZ60" i="1"/>
  <c r="CU60" i="1"/>
  <c r="CW60" i="1" s="1"/>
  <c r="CR60" i="1"/>
  <c r="CT60" i="1" s="1"/>
  <c r="CO60" i="1"/>
  <c r="CQ60" i="1" s="1"/>
  <c r="CN60" i="1"/>
  <c r="CK60" i="1"/>
  <c r="CD60" i="1"/>
  <c r="CH60" i="1" s="1"/>
  <c r="CC60" i="1"/>
  <c r="CA60" i="1"/>
  <c r="BX60" i="1"/>
  <c r="CB60" i="1" s="1"/>
  <c r="BT60" i="1"/>
  <c r="BS60" i="1"/>
  <c r="BI60" i="1"/>
  <c r="BL60" i="1" s="1"/>
  <c r="BA60" i="1"/>
  <c r="BF60" i="1" s="1"/>
  <c r="AY60" i="1"/>
  <c r="AZ60" i="1" s="1"/>
  <c r="AW60" i="1"/>
  <c r="AO60" i="1"/>
  <c r="AG60" i="1"/>
  <c r="AL60" i="1" s="1"/>
  <c r="AE60" i="1"/>
  <c r="AF60" i="1" s="1"/>
  <c r="AC60" i="1"/>
  <c r="Q60" i="1"/>
  <c r="S60" i="1" s="1"/>
  <c r="U60" i="1" s="1"/>
  <c r="I60" i="1"/>
  <c r="J60" i="1" s="1"/>
  <c r="E60" i="1"/>
  <c r="DO59" i="1"/>
  <c r="DL59" i="1"/>
  <c r="DI59" i="1"/>
  <c r="DF59" i="1"/>
  <c r="DC59" i="1"/>
  <c r="CZ59" i="1"/>
  <c r="CW59" i="1"/>
  <c r="CT59" i="1"/>
  <c r="CQ59" i="1"/>
  <c r="CK59" i="1"/>
  <c r="BZ59" i="1"/>
  <c r="BT59" i="1"/>
  <c r="BS59" i="1"/>
  <c r="BI59" i="1"/>
  <c r="BA59" i="1"/>
  <c r="AY59" i="1"/>
  <c r="AZ59" i="1" s="1"/>
  <c r="AW59" i="1"/>
  <c r="AO59" i="1"/>
  <c r="AG59" i="1"/>
  <c r="AN59" i="1" s="1"/>
  <c r="AE59" i="1"/>
  <c r="AF59" i="1" s="1"/>
  <c r="AC59" i="1"/>
  <c r="Q59" i="1"/>
  <c r="V59" i="1" s="1"/>
  <c r="I59" i="1"/>
  <c r="N59" i="1" s="1"/>
  <c r="E59" i="1"/>
  <c r="DO58" i="1"/>
  <c r="DL58" i="1"/>
  <c r="DI58" i="1"/>
  <c r="DF58" i="1"/>
  <c r="DC58" i="1"/>
  <c r="CZ58" i="1"/>
  <c r="CW58" i="1"/>
  <c r="CT58" i="1"/>
  <c r="CQ58" i="1"/>
  <c r="CK58" i="1"/>
  <c r="W58" i="1"/>
  <c r="Y58" i="1" s="1"/>
  <c r="O58" i="1"/>
  <c r="M58" i="1"/>
  <c r="DO57" i="1"/>
  <c r="DL57" i="1"/>
  <c r="DI57" i="1"/>
  <c r="DF57" i="1"/>
  <c r="DC57" i="1"/>
  <c r="CZ57" i="1"/>
  <c r="CW57" i="1"/>
  <c r="CT57" i="1"/>
  <c r="CQ57" i="1"/>
  <c r="CK57" i="1"/>
  <c r="W57" i="1"/>
  <c r="Y57" i="1" s="1"/>
  <c r="O57" i="1"/>
  <c r="M57" i="1"/>
  <c r="DO56" i="1"/>
  <c r="DL56" i="1"/>
  <c r="DI56" i="1"/>
  <c r="DF56" i="1"/>
  <c r="DC56" i="1"/>
  <c r="CZ56" i="1"/>
  <c r="CW56" i="1"/>
  <c r="CT56" i="1"/>
  <c r="CQ56" i="1"/>
  <c r="CK56" i="1"/>
  <c r="W56" i="1"/>
  <c r="Y56" i="1" s="1"/>
  <c r="O56" i="1"/>
  <c r="M56" i="1"/>
  <c r="DO55" i="1"/>
  <c r="DL55" i="1"/>
  <c r="DI55" i="1"/>
  <c r="DF55" i="1"/>
  <c r="DC55" i="1"/>
  <c r="CZ55" i="1"/>
  <c r="CW55" i="1"/>
  <c r="CT55" i="1"/>
  <c r="CQ55" i="1"/>
  <c r="CK55" i="1"/>
  <c r="W55" i="1"/>
  <c r="Y55" i="1" s="1"/>
  <c r="O55" i="1"/>
  <c r="M55" i="1"/>
  <c r="DM54" i="1"/>
  <c r="DO54" i="1" s="1"/>
  <c r="DJ54" i="1"/>
  <c r="DL54" i="1" s="1"/>
  <c r="DI54" i="1"/>
  <c r="DD54" i="1"/>
  <c r="DF54" i="1" s="1"/>
  <c r="DA54" i="1"/>
  <c r="DC54" i="1" s="1"/>
  <c r="CX54" i="1"/>
  <c r="CZ54" i="1" s="1"/>
  <c r="CW54" i="1"/>
  <c r="CT54" i="1"/>
  <c r="CO54" i="1"/>
  <c r="CQ54" i="1" s="1"/>
  <c r="CN54" i="1"/>
  <c r="CK54" i="1"/>
  <c r="CH54" i="1"/>
  <c r="CF54" i="1"/>
  <c r="CE54" i="1"/>
  <c r="CG54" i="1" s="1"/>
  <c r="CC54" i="1"/>
  <c r="CA54" i="1"/>
  <c r="BX54" i="1"/>
  <c r="BX58" i="1" s="1"/>
  <c r="CB58" i="1" s="1"/>
  <c r="BT54" i="1"/>
  <c r="BS54" i="1"/>
  <c r="BI54" i="1"/>
  <c r="BK54" i="1" s="1"/>
  <c r="BM54" i="1" s="1"/>
  <c r="BA54" i="1"/>
  <c r="BB54" i="1" s="1"/>
  <c r="AY54" i="1"/>
  <c r="AZ54" i="1" s="1"/>
  <c r="AW54" i="1"/>
  <c r="AO54" i="1"/>
  <c r="AQ54" i="1" s="1"/>
  <c r="AS54" i="1" s="1"/>
  <c r="AG54" i="1"/>
  <c r="AE54" i="1"/>
  <c r="AF54" i="1" s="1"/>
  <c r="AC54" i="1"/>
  <c r="V54" i="1"/>
  <c r="T54" i="1"/>
  <c r="S54" i="1"/>
  <c r="U54" i="1" s="1"/>
  <c r="R54" i="1"/>
  <c r="I54" i="1"/>
  <c r="P54" i="1" s="1"/>
  <c r="E54" i="1"/>
  <c r="DO53" i="1"/>
  <c r="DL53" i="1"/>
  <c r="DI53" i="1"/>
  <c r="DF53" i="1"/>
  <c r="DC53" i="1"/>
  <c r="CZ53" i="1"/>
  <c r="CW53" i="1"/>
  <c r="CT53" i="1"/>
  <c r="CQ53" i="1"/>
  <c r="CK53" i="1"/>
  <c r="DO52" i="1"/>
  <c r="DL52" i="1"/>
  <c r="DI52" i="1"/>
  <c r="DF52" i="1"/>
  <c r="DC52" i="1"/>
  <c r="CZ52" i="1"/>
  <c r="CW52" i="1"/>
  <c r="CT52" i="1"/>
  <c r="CQ52" i="1"/>
  <c r="CK52" i="1"/>
  <c r="DO51" i="1"/>
  <c r="DL51" i="1"/>
  <c r="DI51" i="1"/>
  <c r="DF51" i="1"/>
  <c r="DC51" i="1"/>
  <c r="CZ51" i="1"/>
  <c r="CW51" i="1"/>
  <c r="CT51" i="1"/>
  <c r="CQ51" i="1"/>
  <c r="CK51" i="1"/>
  <c r="DO50" i="1"/>
  <c r="DL50" i="1"/>
  <c r="DI50" i="1"/>
  <c r="DF50" i="1"/>
  <c r="DC50" i="1"/>
  <c r="CZ50" i="1"/>
  <c r="CW50" i="1"/>
  <c r="CT50" i="1"/>
  <c r="CQ50" i="1"/>
  <c r="CK50" i="1"/>
  <c r="W50" i="1"/>
  <c r="Y50" i="1" s="1"/>
  <c r="DO49" i="1"/>
  <c r="DL49" i="1"/>
  <c r="DI49" i="1"/>
  <c r="DF49" i="1"/>
  <c r="DC49" i="1"/>
  <c r="CZ49" i="1"/>
  <c r="CW49" i="1"/>
  <c r="CT49" i="1"/>
  <c r="CO49" i="1"/>
  <c r="CQ49" i="1" s="1"/>
  <c r="CK49" i="1"/>
  <c r="BZ49" i="1"/>
  <c r="BT49" i="1"/>
  <c r="BS49" i="1"/>
  <c r="BI49" i="1"/>
  <c r="BJ49" i="1" s="1"/>
  <c r="BA49" i="1"/>
  <c r="AY49" i="1"/>
  <c r="AZ49" i="1" s="1"/>
  <c r="AW49" i="1"/>
  <c r="AO49" i="1"/>
  <c r="AR49" i="1" s="1"/>
  <c r="AG49" i="1"/>
  <c r="AE49" i="1"/>
  <c r="AF49" i="1" s="1"/>
  <c r="AC49" i="1"/>
  <c r="Q49" i="1"/>
  <c r="V49" i="1" s="1"/>
  <c r="I49" i="1"/>
  <c r="N49" i="1" s="1"/>
  <c r="E49" i="1"/>
  <c r="DO48" i="1"/>
  <c r="DL48" i="1"/>
  <c r="DI48" i="1"/>
  <c r="DF48" i="1"/>
  <c r="DC48" i="1"/>
  <c r="CZ48" i="1"/>
  <c r="CW48" i="1"/>
  <c r="CT48" i="1"/>
  <c r="CQ48" i="1"/>
  <c r="CK48" i="1"/>
  <c r="AM48" i="1"/>
  <c r="AK48" i="1"/>
  <c r="W48" i="1"/>
  <c r="Y48" i="1" s="1"/>
  <c r="O48" i="1"/>
  <c r="M48" i="1"/>
  <c r="DO47" i="1"/>
  <c r="DL47" i="1"/>
  <c r="DI47" i="1"/>
  <c r="DF47" i="1"/>
  <c r="DC47" i="1"/>
  <c r="CZ47" i="1"/>
  <c r="CW47" i="1"/>
  <c r="CT47" i="1"/>
  <c r="CQ47" i="1"/>
  <c r="CK47" i="1"/>
  <c r="W47" i="1"/>
  <c r="Y47" i="1" s="1"/>
  <c r="DO46" i="1"/>
  <c r="DL46" i="1"/>
  <c r="DI46" i="1"/>
  <c r="DF46" i="1"/>
  <c r="DC46" i="1"/>
  <c r="CZ46" i="1"/>
  <c r="CU46" i="1"/>
  <c r="CR46" i="1"/>
  <c r="CT46" i="1" s="1"/>
  <c r="CO46" i="1"/>
  <c r="CQ46" i="1" s="1"/>
  <c r="CN46" i="1"/>
  <c r="CK46" i="1"/>
  <c r="CD46" i="1"/>
  <c r="CH46" i="1" s="1"/>
  <c r="CC46" i="1"/>
  <c r="CA46" i="1"/>
  <c r="BX46" i="1"/>
  <c r="CB46" i="1" s="1"/>
  <c r="BT46" i="1"/>
  <c r="BS46" i="1"/>
  <c r="BI46" i="1"/>
  <c r="BN46" i="1" s="1"/>
  <c r="BA46" i="1"/>
  <c r="BF46" i="1" s="1"/>
  <c r="AY46" i="1"/>
  <c r="AZ46" i="1" s="1"/>
  <c r="AW46" i="1"/>
  <c r="AO46" i="1"/>
  <c r="AT46" i="1" s="1"/>
  <c r="AE46" i="1"/>
  <c r="AG46" i="1" s="1"/>
  <c r="AC46" i="1"/>
  <c r="Q46" i="1"/>
  <c r="I46" i="1"/>
  <c r="P46" i="1" s="1"/>
  <c r="H46" i="1"/>
  <c r="E46" i="1"/>
  <c r="DO45" i="1"/>
  <c r="DL45" i="1"/>
  <c r="DI45" i="1"/>
  <c r="DF45" i="1"/>
  <c r="DC45" i="1"/>
  <c r="CZ45" i="1"/>
  <c r="CW45" i="1"/>
  <c r="CT45" i="1"/>
  <c r="CQ45" i="1"/>
  <c r="CK45" i="1"/>
  <c r="AM45" i="1"/>
  <c r="AK45" i="1"/>
  <c r="W45" i="1"/>
  <c r="Y45" i="1" s="1"/>
  <c r="O45" i="1"/>
  <c r="M45" i="1"/>
  <c r="DO44" i="1"/>
  <c r="DL44" i="1"/>
  <c r="DI44" i="1"/>
  <c r="DF44" i="1"/>
  <c r="DC44" i="1"/>
  <c r="CZ44" i="1"/>
  <c r="CW44" i="1"/>
  <c r="CT44" i="1"/>
  <c r="CQ44" i="1"/>
  <c r="CK44" i="1"/>
  <c r="AM44" i="1"/>
  <c r="AK44" i="1"/>
  <c r="W44" i="1"/>
  <c r="Y44" i="1" s="1"/>
  <c r="O44" i="1"/>
  <c r="M44" i="1"/>
  <c r="DO43" i="1"/>
  <c r="DL43" i="1"/>
  <c r="DI43" i="1"/>
  <c r="DF43" i="1"/>
  <c r="DC43" i="1"/>
  <c r="CZ43" i="1"/>
  <c r="CW43" i="1"/>
  <c r="CT43" i="1"/>
  <c r="CQ43" i="1"/>
  <c r="CK43" i="1"/>
  <c r="W43" i="1"/>
  <c r="Y43" i="1" s="1"/>
  <c r="DO42" i="1"/>
  <c r="DL42" i="1"/>
  <c r="DI42" i="1"/>
  <c r="DF42" i="1"/>
  <c r="DC42" i="1"/>
  <c r="CZ42" i="1"/>
  <c r="CW42" i="1"/>
  <c r="CT42" i="1"/>
  <c r="CQ42" i="1"/>
  <c r="CK42" i="1"/>
  <c r="W42" i="1"/>
  <c r="Y42" i="1" s="1"/>
  <c r="O42" i="1"/>
  <c r="M42" i="1"/>
  <c r="DO41" i="1"/>
  <c r="DL41" i="1"/>
  <c r="DI41" i="1"/>
  <c r="DF41" i="1"/>
  <c r="DC41" i="1"/>
  <c r="CZ41" i="1"/>
  <c r="CW41" i="1"/>
  <c r="CT41" i="1"/>
  <c r="CO41" i="1"/>
  <c r="CQ41" i="1" s="1"/>
  <c r="CK41" i="1"/>
  <c r="BZ41" i="1"/>
  <c r="BT41" i="1"/>
  <c r="BS41" i="1"/>
  <c r="BI41" i="1"/>
  <c r="BA41" i="1"/>
  <c r="BB41" i="1" s="1"/>
  <c r="AY41" i="1"/>
  <c r="AZ41" i="1" s="1"/>
  <c r="AW41" i="1"/>
  <c r="AO41" i="1"/>
  <c r="AP41" i="1" s="1"/>
  <c r="AG41" i="1"/>
  <c r="AH41" i="1" s="1"/>
  <c r="AE41" i="1"/>
  <c r="AF41" i="1" s="1"/>
  <c r="AC41" i="1"/>
  <c r="Q41" i="1"/>
  <c r="S41" i="1" s="1"/>
  <c r="U41" i="1" s="1"/>
  <c r="I41" i="1"/>
  <c r="J41" i="1" s="1"/>
  <c r="E41" i="1"/>
  <c r="DO40" i="1"/>
  <c r="DL40" i="1"/>
  <c r="DI40" i="1"/>
  <c r="DF40" i="1"/>
  <c r="DC40" i="1"/>
  <c r="CZ40" i="1"/>
  <c r="CW40" i="1"/>
  <c r="CT40" i="1"/>
  <c r="CQ40" i="1"/>
  <c r="W40" i="1"/>
  <c r="Y40" i="1" s="1"/>
  <c r="DO39" i="1"/>
  <c r="DL39" i="1"/>
  <c r="DI39" i="1"/>
  <c r="DF39" i="1"/>
  <c r="DC39" i="1"/>
  <c r="CZ39" i="1"/>
  <c r="CW39" i="1"/>
  <c r="CT39" i="1"/>
  <c r="CQ39" i="1"/>
  <c r="DO38" i="1"/>
  <c r="DL38" i="1"/>
  <c r="DI38" i="1"/>
  <c r="DF38" i="1"/>
  <c r="DC38" i="1"/>
  <c r="CZ38" i="1"/>
  <c r="CW38" i="1"/>
  <c r="CT38" i="1"/>
  <c r="CQ38" i="1"/>
  <c r="W38" i="1"/>
  <c r="Y38" i="1" s="1"/>
  <c r="O38" i="1"/>
  <c r="DO37" i="1"/>
  <c r="DL37" i="1"/>
  <c r="DI37" i="1"/>
  <c r="DF37" i="1"/>
  <c r="DC37" i="1"/>
  <c r="CZ37" i="1"/>
  <c r="CW37" i="1"/>
  <c r="CT37" i="1"/>
  <c r="CQ37" i="1"/>
  <c r="DO36" i="1"/>
  <c r="DL36" i="1"/>
  <c r="DI36" i="1"/>
  <c r="DF36" i="1"/>
  <c r="DC36" i="1"/>
  <c r="CZ36" i="1"/>
  <c r="CW36" i="1"/>
  <c r="CT36" i="1"/>
  <c r="CO36" i="1"/>
  <c r="CQ36" i="1" s="1"/>
  <c r="CK36" i="1"/>
  <c r="CD36" i="1"/>
  <c r="CE36" i="1" s="1"/>
  <c r="CG36" i="1" s="1"/>
  <c r="CC36" i="1"/>
  <c r="CA36" i="1"/>
  <c r="BX36" i="1"/>
  <c r="BX37" i="1" s="1"/>
  <c r="BT36" i="1"/>
  <c r="BI36" i="1"/>
  <c r="BN36" i="1" s="1"/>
  <c r="BA36" i="1"/>
  <c r="BF36" i="1" s="1"/>
  <c r="AY36" i="1"/>
  <c r="AZ36" i="1" s="1"/>
  <c r="AW36" i="1"/>
  <c r="AO36" i="1"/>
  <c r="AT36" i="1" s="1"/>
  <c r="AG36" i="1"/>
  <c r="AL36" i="1" s="1"/>
  <c r="AE36" i="1"/>
  <c r="AF36" i="1" s="1"/>
  <c r="AC36" i="1"/>
  <c r="V36" i="1"/>
  <c r="T36" i="1"/>
  <c r="S36" i="1"/>
  <c r="U36" i="1" s="1"/>
  <c r="R36" i="1"/>
  <c r="P36" i="1"/>
  <c r="N36" i="1"/>
  <c r="K36" i="1"/>
  <c r="J36" i="1"/>
  <c r="G36" i="1"/>
  <c r="H36" i="1" s="1"/>
  <c r="E36" i="1"/>
  <c r="DO35" i="1"/>
  <c r="DL35" i="1"/>
  <c r="DI35" i="1"/>
  <c r="DF35" i="1"/>
  <c r="DC35" i="1"/>
  <c r="CZ35" i="1"/>
  <c r="CW35" i="1"/>
  <c r="CT35" i="1"/>
  <c r="CQ35" i="1"/>
  <c r="CK35" i="1"/>
  <c r="BF35" i="1"/>
  <c r="AM35" i="1"/>
  <c r="AL35" i="1"/>
  <c r="AK35" i="1"/>
  <c r="N35" i="1"/>
  <c r="DO34" i="1"/>
  <c r="DL34" i="1"/>
  <c r="DI34" i="1"/>
  <c r="DF34" i="1"/>
  <c r="DC34" i="1"/>
  <c r="CZ34" i="1"/>
  <c r="CW34" i="1"/>
  <c r="CT34" i="1"/>
  <c r="CQ34" i="1"/>
  <c r="CK34" i="1"/>
  <c r="BZ34" i="1"/>
  <c r="BT34" i="1"/>
  <c r="BS34" i="1"/>
  <c r="BA34" i="1"/>
  <c r="AY34" i="1"/>
  <c r="AZ34" i="1" s="1"/>
  <c r="AW34" i="1"/>
  <c r="AO34" i="1"/>
  <c r="AT34" i="1" s="1"/>
  <c r="AG34" i="1"/>
  <c r="AL34" i="1" s="1"/>
  <c r="AE34" i="1"/>
  <c r="AF34" i="1" s="1"/>
  <c r="AC34" i="1"/>
  <c r="Q34" i="1"/>
  <c r="T34" i="1" s="1"/>
  <c r="I34" i="1"/>
  <c r="P34" i="1" s="1"/>
  <c r="E34" i="1"/>
  <c r="DO33" i="1"/>
  <c r="DL33" i="1"/>
  <c r="DI33" i="1"/>
  <c r="DF33" i="1"/>
  <c r="DC33" i="1"/>
  <c r="CZ33" i="1"/>
  <c r="CW33" i="1"/>
  <c r="CT33" i="1"/>
  <c r="CQ33" i="1"/>
  <c r="CK33" i="1"/>
  <c r="AK33" i="1"/>
  <c r="W33" i="1"/>
  <c r="Y33" i="1" s="1"/>
  <c r="DO32" i="1"/>
  <c r="DL32" i="1"/>
  <c r="DI32" i="1"/>
  <c r="DF32" i="1"/>
  <c r="DC32" i="1"/>
  <c r="CZ32" i="1"/>
  <c r="CW32" i="1"/>
  <c r="CT32" i="1"/>
  <c r="CQ32" i="1"/>
  <c r="CK32" i="1"/>
  <c r="AK32" i="1"/>
  <c r="W32" i="1"/>
  <c r="Y32" i="1" s="1"/>
  <c r="DO31" i="1"/>
  <c r="DL31" i="1"/>
  <c r="DI31" i="1"/>
  <c r="DF31" i="1"/>
  <c r="DC31" i="1"/>
  <c r="CZ31" i="1"/>
  <c r="CW31" i="1"/>
  <c r="CT31" i="1"/>
  <c r="CQ31" i="1"/>
  <c r="CK31" i="1"/>
  <c r="AK31" i="1"/>
  <c r="DO30" i="1"/>
  <c r="DL30" i="1"/>
  <c r="DI30" i="1"/>
  <c r="DF30" i="1"/>
  <c r="DC30" i="1"/>
  <c r="CZ30" i="1"/>
  <c r="CW30" i="1"/>
  <c r="CT30" i="1"/>
  <c r="CQ30" i="1"/>
  <c r="CK30" i="1"/>
  <c r="AK30" i="1"/>
  <c r="DO29" i="1"/>
  <c r="DL29" i="1"/>
  <c r="DI29" i="1"/>
  <c r="DF29" i="1"/>
  <c r="DC29" i="1"/>
  <c r="CZ29" i="1"/>
  <c r="CW29" i="1"/>
  <c r="CT29" i="1"/>
  <c r="CQ29" i="1"/>
  <c r="CK29" i="1"/>
  <c r="CD29" i="1"/>
  <c r="CC29" i="1"/>
  <c r="BS29" i="1"/>
  <c r="BI29" i="1"/>
  <c r="BA29" i="1"/>
  <c r="BH29" i="1" s="1"/>
  <c r="AY29" i="1"/>
  <c r="AZ29" i="1" s="1"/>
  <c r="AW29" i="1"/>
  <c r="AO29" i="1"/>
  <c r="AR29" i="1" s="1"/>
  <c r="AG29" i="1"/>
  <c r="AN29" i="1" s="1"/>
  <c r="AE29" i="1"/>
  <c r="AF29" i="1" s="1"/>
  <c r="AC29" i="1"/>
  <c r="Q29" i="1"/>
  <c r="V29" i="1" s="1"/>
  <c r="I29" i="1"/>
  <c r="E29" i="1"/>
  <c r="DO28" i="1"/>
  <c r="DL28" i="1"/>
  <c r="DI28" i="1"/>
  <c r="DF28" i="1"/>
  <c r="DC28" i="1"/>
  <c r="CZ28" i="1"/>
  <c r="CW28" i="1"/>
  <c r="CT28" i="1"/>
  <c r="CQ28" i="1"/>
  <c r="CK28" i="1"/>
  <c r="BZ28" i="1"/>
  <c r="BT28" i="1"/>
  <c r="BH28" i="1"/>
  <c r="BE28" i="1"/>
  <c r="AW28" i="1"/>
  <c r="AO28" i="1"/>
  <c r="AT28" i="1" s="1"/>
  <c r="AG28" i="1"/>
  <c r="AI28" i="1" s="1"/>
  <c r="AM28" i="1" s="1"/>
  <c r="AE28" i="1"/>
  <c r="AC28" i="1"/>
  <c r="Q28" i="1"/>
  <c r="I28" i="1"/>
  <c r="J28" i="1" s="1"/>
  <c r="E28" i="1"/>
  <c r="DO27" i="1"/>
  <c r="DL27" i="1"/>
  <c r="DI27" i="1"/>
  <c r="DF27" i="1"/>
  <c r="DC27" i="1"/>
  <c r="CZ27" i="1"/>
  <c r="CW27" i="1"/>
  <c r="CT27" i="1"/>
  <c r="CQ27" i="1"/>
  <c r="CK27" i="1"/>
  <c r="DO26" i="1"/>
  <c r="DL26" i="1"/>
  <c r="DI26" i="1"/>
  <c r="DF26" i="1"/>
  <c r="DC26" i="1"/>
  <c r="CZ26" i="1"/>
  <c r="CW26" i="1"/>
  <c r="CT26" i="1"/>
  <c r="CQ26" i="1"/>
  <c r="CK26" i="1"/>
  <c r="W26" i="1"/>
  <c r="Y26" i="1" s="1"/>
  <c r="DO25" i="1"/>
  <c r="DL25" i="1"/>
  <c r="DI25" i="1"/>
  <c r="DF25" i="1"/>
  <c r="DC25" i="1"/>
  <c r="CZ25" i="1"/>
  <c r="CW25" i="1"/>
  <c r="CT25" i="1"/>
  <c r="CQ25" i="1"/>
  <c r="CK25" i="1"/>
  <c r="CD25" i="1"/>
  <c r="CE25" i="1" s="1"/>
  <c r="CG25" i="1" s="1"/>
  <c r="CC25" i="1"/>
  <c r="CA25" i="1"/>
  <c r="BX25" i="1"/>
  <c r="BT25" i="1"/>
  <c r="BS25" i="1"/>
  <c r="BN25" i="1"/>
  <c r="BL25" i="1"/>
  <c r="BK25" i="1"/>
  <c r="BM25" i="1" s="1"/>
  <c r="BJ25" i="1"/>
  <c r="BA25" i="1"/>
  <c r="AY25" i="1"/>
  <c r="AZ25" i="1" s="1"/>
  <c r="AW25" i="1"/>
  <c r="AO25" i="1"/>
  <c r="AR25" i="1" s="1"/>
  <c r="AE25" i="1"/>
  <c r="AG25" i="1" s="1"/>
  <c r="AC25" i="1"/>
  <c r="Q25" i="1"/>
  <c r="V25" i="1" s="1"/>
  <c r="P25" i="1"/>
  <c r="N25" i="1"/>
  <c r="K25" i="1"/>
  <c r="K27" i="1" s="1"/>
  <c r="M27" i="1" s="1"/>
  <c r="J25" i="1"/>
  <c r="H25" i="1"/>
  <c r="E25" i="1"/>
  <c r="DO24" i="1"/>
  <c r="DL24" i="1"/>
  <c r="DI24" i="1"/>
  <c r="DF24" i="1"/>
  <c r="DC24" i="1"/>
  <c r="CZ24" i="1"/>
  <c r="CW24" i="1"/>
  <c r="CT24" i="1"/>
  <c r="CQ24" i="1"/>
  <c r="BG24" i="1"/>
  <c r="BE24" i="1"/>
  <c r="AM24" i="1"/>
  <c r="AK24" i="1"/>
  <c r="W24" i="1"/>
  <c r="Y24" i="1" s="1"/>
  <c r="M24" i="1"/>
  <c r="DO23" i="1"/>
  <c r="DL23" i="1"/>
  <c r="DI23" i="1"/>
  <c r="DF23" i="1"/>
  <c r="DC23" i="1"/>
  <c r="CZ23" i="1"/>
  <c r="CW23" i="1"/>
  <c r="CT23" i="1"/>
  <c r="CQ23" i="1"/>
  <c r="BG23" i="1"/>
  <c r="BE23" i="1"/>
  <c r="AI23" i="1"/>
  <c r="AK23" i="1" s="1"/>
  <c r="K23" i="1"/>
  <c r="M23" i="1" s="1"/>
  <c r="DO22" i="1"/>
  <c r="DL22" i="1"/>
  <c r="DI22" i="1"/>
  <c r="DF22" i="1"/>
  <c r="DC22" i="1"/>
  <c r="CZ22" i="1"/>
  <c r="CW22" i="1"/>
  <c r="CT22" i="1"/>
  <c r="CQ22" i="1"/>
  <c r="BC22" i="1"/>
  <c r="BE22" i="1" s="1"/>
  <c r="AM22" i="1"/>
  <c r="AK22" i="1"/>
  <c r="W22" i="1"/>
  <c r="Y22" i="1" s="1"/>
  <c r="O22" i="1"/>
  <c r="M22" i="1"/>
  <c r="DO21" i="1"/>
  <c r="DL21" i="1"/>
  <c r="DI21" i="1"/>
  <c r="DF21" i="1"/>
  <c r="DC21" i="1"/>
  <c r="CZ21" i="1"/>
  <c r="CW21" i="1"/>
  <c r="CT21" i="1"/>
  <c r="CQ21" i="1"/>
  <c r="BG21" i="1"/>
  <c r="BE21" i="1"/>
  <c r="AM21" i="1"/>
  <c r="AK21" i="1"/>
  <c r="K21" i="1"/>
  <c r="DO20" i="1"/>
  <c r="DL20" i="1"/>
  <c r="DI20" i="1"/>
  <c r="DF20" i="1"/>
  <c r="DC20" i="1"/>
  <c r="CZ20" i="1"/>
  <c r="CW20" i="1"/>
  <c r="CT20" i="1"/>
  <c r="CQ20" i="1"/>
  <c r="BG20" i="1"/>
  <c r="BE20" i="1"/>
  <c r="AI20" i="1"/>
  <c r="AK20" i="1" s="1"/>
  <c r="K20" i="1"/>
  <c r="W20" i="1" s="1"/>
  <c r="Y20" i="1" s="1"/>
  <c r="DO19" i="1"/>
  <c r="DL19" i="1"/>
  <c r="DI19" i="1"/>
  <c r="DD19" i="1"/>
  <c r="DF19" i="1" s="1"/>
  <c r="DA19" i="1"/>
  <c r="DC19" i="1" s="1"/>
  <c r="CX19" i="1"/>
  <c r="CZ19" i="1" s="1"/>
  <c r="CW19" i="1"/>
  <c r="CT19" i="1"/>
  <c r="CO19" i="1"/>
  <c r="CQ19" i="1" s="1"/>
  <c r="CN19" i="1"/>
  <c r="CK19" i="1"/>
  <c r="BG19" i="1"/>
  <c r="BE19" i="1"/>
  <c r="AM19" i="1"/>
  <c r="AK19" i="1"/>
  <c r="W19" i="1"/>
  <c r="Y19" i="1" s="1"/>
  <c r="O19" i="1"/>
  <c r="M19" i="1"/>
  <c r="DO18" i="1"/>
  <c r="DL18" i="1"/>
  <c r="DI18" i="1"/>
  <c r="DF18" i="1"/>
  <c r="DC18" i="1"/>
  <c r="CZ18" i="1"/>
  <c r="CW18" i="1"/>
  <c r="CT18" i="1"/>
  <c r="CQ18" i="1"/>
  <c r="BG18" i="1"/>
  <c r="BF18" i="1"/>
  <c r="BE18" i="1"/>
  <c r="AM18" i="1"/>
  <c r="AL18" i="1"/>
  <c r="AK18" i="1"/>
  <c r="W18" i="1"/>
  <c r="Y18" i="1" s="1"/>
  <c r="O18" i="1"/>
  <c r="N18" i="1"/>
  <c r="M18" i="1"/>
  <c r="DO17" i="1"/>
  <c r="DL17" i="1"/>
  <c r="DI17" i="1"/>
  <c r="DF17" i="1"/>
  <c r="DC17" i="1"/>
  <c r="CZ17" i="1"/>
  <c r="CW17" i="1"/>
  <c r="CT17" i="1"/>
  <c r="CQ17" i="1"/>
  <c r="BG17" i="1"/>
  <c r="BF17" i="1"/>
  <c r="BE17" i="1"/>
  <c r="AM17" i="1"/>
  <c r="AL17" i="1"/>
  <c r="AK17" i="1"/>
  <c r="W17" i="1"/>
  <c r="Y17" i="1" s="1"/>
  <c r="O17" i="1"/>
  <c r="N17" i="1"/>
  <c r="M17" i="1"/>
  <c r="DO16" i="1"/>
  <c r="DL16" i="1"/>
  <c r="DI16" i="1"/>
  <c r="DF16" i="1"/>
  <c r="DC16" i="1"/>
  <c r="CZ16" i="1"/>
  <c r="CW16" i="1"/>
  <c r="CT16" i="1"/>
  <c r="CQ16" i="1"/>
  <c r="BG16" i="1"/>
  <c r="BF16" i="1"/>
  <c r="BE16" i="1"/>
  <c r="AM16" i="1"/>
  <c r="AL16" i="1"/>
  <c r="AK16" i="1"/>
  <c r="W16" i="1"/>
  <c r="Y16" i="1" s="1"/>
  <c r="O16" i="1"/>
  <c r="N16" i="1"/>
  <c r="M16" i="1"/>
  <c r="DO15" i="1"/>
  <c r="DL15" i="1"/>
  <c r="DI15" i="1"/>
  <c r="DF15" i="1"/>
  <c r="DC15" i="1"/>
  <c r="CZ15" i="1"/>
  <c r="CW15" i="1"/>
  <c r="CT15" i="1"/>
  <c r="CQ15" i="1"/>
  <c r="BG15" i="1"/>
  <c r="BF15" i="1"/>
  <c r="BE15" i="1"/>
  <c r="AM15" i="1"/>
  <c r="AL15" i="1"/>
  <c r="AK15" i="1"/>
  <c r="W15" i="1"/>
  <c r="Y15" i="1" s="1"/>
  <c r="O15" i="1"/>
  <c r="N15" i="1"/>
  <c r="M15" i="1"/>
  <c r="DO14" i="1"/>
  <c r="DL14" i="1"/>
  <c r="DI14" i="1"/>
  <c r="DF14" i="1"/>
  <c r="DC14" i="1"/>
  <c r="CZ14" i="1"/>
  <c r="CW14" i="1"/>
  <c r="CT14" i="1"/>
  <c r="CQ14" i="1"/>
  <c r="BG14" i="1"/>
  <c r="BF14" i="1"/>
  <c r="BE14" i="1"/>
  <c r="AM14" i="1"/>
  <c r="AL14" i="1"/>
  <c r="AK14" i="1"/>
  <c r="W14" i="1"/>
  <c r="Y14" i="1" s="1"/>
  <c r="O14" i="1"/>
  <c r="N14" i="1"/>
  <c r="M14" i="1"/>
  <c r="DO13" i="1"/>
  <c r="DL13" i="1"/>
  <c r="DI13" i="1"/>
  <c r="DF13" i="1"/>
  <c r="DC13" i="1"/>
  <c r="CZ13" i="1"/>
  <c r="CW13" i="1"/>
  <c r="CT13" i="1"/>
  <c r="CQ13" i="1"/>
  <c r="BG13" i="1"/>
  <c r="BF13" i="1"/>
  <c r="BE13" i="1"/>
  <c r="AM13" i="1"/>
  <c r="AL13" i="1"/>
  <c r="AK13" i="1"/>
  <c r="W13" i="1"/>
  <c r="Y13" i="1" s="1"/>
  <c r="O13" i="1"/>
  <c r="N13" i="1"/>
  <c r="M13" i="1"/>
  <c r="DO12" i="1"/>
  <c r="DL12" i="1"/>
  <c r="DI12" i="1"/>
  <c r="DF12" i="1"/>
  <c r="DC12" i="1"/>
  <c r="CZ12" i="1"/>
  <c r="CW12" i="1"/>
  <c r="CT12" i="1"/>
  <c r="CQ12" i="1"/>
  <c r="BG12" i="1"/>
  <c r="BF12" i="1"/>
  <c r="BE12" i="1"/>
  <c r="AM12" i="1"/>
  <c r="AL12" i="1"/>
  <c r="AK12" i="1"/>
  <c r="W12" i="1"/>
  <c r="Y12" i="1" s="1"/>
  <c r="O12" i="1"/>
  <c r="N12" i="1"/>
  <c r="M12" i="1"/>
  <c r="DO11" i="1"/>
  <c r="DL11" i="1"/>
  <c r="DI11" i="1"/>
  <c r="DF11" i="1"/>
  <c r="DC11" i="1"/>
  <c r="CZ11" i="1"/>
  <c r="CW11" i="1"/>
  <c r="CT11" i="1"/>
  <c r="CQ11" i="1"/>
  <c r="BG11" i="1"/>
  <c r="BF11" i="1"/>
  <c r="BE11" i="1"/>
  <c r="AM11" i="1"/>
  <c r="AL11" i="1"/>
  <c r="AK11" i="1"/>
  <c r="W11" i="1"/>
  <c r="Y11" i="1" s="1"/>
  <c r="O11" i="1"/>
  <c r="N11" i="1"/>
  <c r="M11" i="1"/>
  <c r="DO10" i="1"/>
  <c r="DL10" i="1"/>
  <c r="DI10" i="1"/>
  <c r="DF10" i="1"/>
  <c r="DC10" i="1"/>
  <c r="CZ10" i="1"/>
  <c r="CW10" i="1"/>
  <c r="CT10" i="1"/>
  <c r="CQ10" i="1"/>
  <c r="BG10" i="1"/>
  <c r="BF10" i="1"/>
  <c r="BE10" i="1"/>
  <c r="AM10" i="1"/>
  <c r="AL10" i="1"/>
  <c r="AK10" i="1"/>
  <c r="W10" i="1"/>
  <c r="Y10" i="1" s="1"/>
  <c r="O10" i="1"/>
  <c r="N10" i="1"/>
  <c r="M10" i="1"/>
  <c r="DO9" i="1"/>
  <c r="DL9" i="1"/>
  <c r="DI9" i="1"/>
  <c r="DF9" i="1"/>
  <c r="DC9" i="1"/>
  <c r="CZ9" i="1"/>
  <c r="CW9" i="1"/>
  <c r="CT9" i="1"/>
  <c r="CQ9" i="1"/>
  <c r="BG9" i="1"/>
  <c r="BF9" i="1"/>
  <c r="BE9" i="1"/>
  <c r="AM9" i="1"/>
  <c r="AL9" i="1"/>
  <c r="AK9" i="1"/>
  <c r="W9" i="1"/>
  <c r="Y9" i="1" s="1"/>
  <c r="O9" i="1"/>
  <c r="N9" i="1"/>
  <c r="M9" i="1"/>
  <c r="DM8" i="1"/>
  <c r="DO8" i="1" s="1"/>
  <c r="DJ8" i="1"/>
  <c r="DL8" i="1" s="1"/>
  <c r="DG8" i="1"/>
  <c r="DI8" i="1" s="1"/>
  <c r="DD8" i="1"/>
  <c r="DF8" i="1" s="1"/>
  <c r="DA8" i="1"/>
  <c r="DC8" i="1" s="1"/>
  <c r="CX8" i="1"/>
  <c r="CZ8" i="1" s="1"/>
  <c r="CW8" i="1"/>
  <c r="CT8" i="1"/>
  <c r="CO8" i="1"/>
  <c r="CQ8" i="1" s="1"/>
  <c r="CN8" i="1"/>
  <c r="CD8" i="1"/>
  <c r="CE8" i="1" s="1"/>
  <c r="CG8" i="1" s="1"/>
  <c r="CC8" i="1"/>
  <c r="CA8" i="1"/>
  <c r="BX8" i="1"/>
  <c r="CB8" i="1" s="1"/>
  <c r="BT8" i="1"/>
  <c r="BS8" i="1"/>
  <c r="BI8" i="1"/>
  <c r="BL8" i="1" s="1"/>
  <c r="BA8" i="1"/>
  <c r="AY8" i="1"/>
  <c r="AZ8" i="1" s="1"/>
  <c r="AW8" i="1"/>
  <c r="AO8" i="1"/>
  <c r="AR8" i="1" s="1"/>
  <c r="AG8" i="1"/>
  <c r="AN8" i="1" s="1"/>
  <c r="AE8" i="1"/>
  <c r="AF8" i="1" s="1"/>
  <c r="AC8" i="1"/>
  <c r="Q8" i="1"/>
  <c r="V8" i="1" s="1"/>
  <c r="P8" i="1"/>
  <c r="N8" i="1"/>
  <c r="K8" i="1"/>
  <c r="W8" i="1" s="1"/>
  <c r="Y8" i="1" s="1"/>
  <c r="J8" i="1"/>
  <c r="E8" i="1"/>
  <c r="DO7" i="1"/>
  <c r="DL7" i="1"/>
  <c r="DI7" i="1"/>
  <c r="DF7" i="1"/>
  <c r="DC7" i="1"/>
  <c r="CZ7" i="1"/>
  <c r="CW7" i="1"/>
  <c r="CT7" i="1"/>
  <c r="CQ7" i="1"/>
  <c r="CN7" i="1"/>
  <c r="W7" i="1"/>
  <c r="Y7" i="1" s="1"/>
  <c r="O7" i="1"/>
  <c r="M7" i="1"/>
  <c r="DO6" i="1"/>
  <c r="DL6" i="1"/>
  <c r="DI6" i="1"/>
  <c r="DF6" i="1"/>
  <c r="DC6" i="1"/>
  <c r="CZ6" i="1"/>
  <c r="CW6" i="1"/>
  <c r="CT6" i="1"/>
  <c r="CQ6" i="1"/>
  <c r="BZ6" i="1"/>
  <c r="BT6" i="1"/>
  <c r="BS6" i="1"/>
  <c r="BI6" i="1"/>
  <c r="BN6" i="1" s="1"/>
  <c r="BA6" i="1"/>
  <c r="BB6" i="1" s="1"/>
  <c r="AY6" i="1"/>
  <c r="AZ6" i="1" s="1"/>
  <c r="AW6" i="1"/>
  <c r="AO6" i="1"/>
  <c r="AQ6" i="1" s="1"/>
  <c r="AS6" i="1" s="1"/>
  <c r="AG6" i="1"/>
  <c r="AF6" i="1"/>
  <c r="AC6" i="1"/>
  <c r="Q6" i="1"/>
  <c r="V6" i="1" s="1"/>
  <c r="I6" i="1"/>
  <c r="N6" i="1" s="1"/>
  <c r="E6" i="1"/>
  <c r="DO5" i="1"/>
  <c r="DL5" i="1"/>
  <c r="DI5" i="1"/>
  <c r="DF5" i="1"/>
  <c r="DC5" i="1"/>
  <c r="CZ5" i="1"/>
  <c r="CW5" i="1"/>
  <c r="CT5" i="1"/>
  <c r="CQ5" i="1"/>
  <c r="CN5" i="1"/>
  <c r="W5" i="1"/>
  <c r="O5" i="1"/>
  <c r="M5" i="1"/>
  <c r="DO4" i="1"/>
  <c r="DL4" i="1"/>
  <c r="DI4" i="1"/>
  <c r="DF4" i="1"/>
  <c r="DC4" i="1"/>
  <c r="CZ4" i="1"/>
  <c r="CW4" i="1"/>
  <c r="CT4" i="1"/>
  <c r="CQ4" i="1"/>
  <c r="CH4" i="1"/>
  <c r="CF4" i="1"/>
  <c r="CE4" i="1"/>
  <c r="CG4" i="1" s="1"/>
  <c r="CC4" i="1"/>
  <c r="CA4" i="1"/>
  <c r="BX4" i="1"/>
  <c r="CB4" i="1" s="1"/>
  <c r="BT4" i="1"/>
  <c r="BS4" i="1"/>
  <c r="BI4" i="1"/>
  <c r="BL4" i="1" s="1"/>
  <c r="BA4" i="1"/>
  <c r="BH4" i="1" s="1"/>
  <c r="AY4" i="1"/>
  <c r="AZ4" i="1" s="1"/>
  <c r="AW4" i="1"/>
  <c r="AO4" i="1"/>
  <c r="AR4" i="1" s="1"/>
  <c r="AE4" i="1"/>
  <c r="AF4" i="1" s="1"/>
  <c r="AC4" i="1"/>
  <c r="Q4" i="1"/>
  <c r="S4" i="1" s="1"/>
  <c r="U4" i="1" s="1"/>
  <c r="I4" i="1"/>
  <c r="J4" i="1" s="1"/>
  <c r="E4" i="1"/>
  <c r="T69" i="1" l="1"/>
  <c r="P71" i="1"/>
  <c r="AA126" i="1"/>
  <c r="AU126" i="1"/>
  <c r="BO126" i="1"/>
  <c r="CI126" i="1"/>
  <c r="DS126" i="1"/>
  <c r="DW126" i="1"/>
  <c r="EA126" i="1"/>
  <c r="EE126" i="1"/>
  <c r="EI126" i="1"/>
  <c r="EM126" i="1"/>
  <c r="CE65" i="1"/>
  <c r="CG65" i="1" s="1"/>
  <c r="BW126" i="1"/>
  <c r="BC4" i="1"/>
  <c r="BG4" i="1" s="1"/>
  <c r="AR54" i="1"/>
  <c r="BC54" i="1"/>
  <c r="BC58" i="1" s="1"/>
  <c r="AG63" i="1"/>
  <c r="AL63" i="1" s="1"/>
  <c r="BN79" i="1"/>
  <c r="K6" i="1"/>
  <c r="CF25" i="1"/>
  <c r="AQ28" i="1"/>
  <c r="AI34" i="1"/>
  <c r="AK34" i="1" s="1"/>
  <c r="AR41" i="1"/>
  <c r="AF25" i="1"/>
  <c r="O8" i="1"/>
  <c r="CB65" i="1"/>
  <c r="CF65" i="1"/>
  <c r="AM79" i="1"/>
  <c r="AM82" i="1" s="1"/>
  <c r="AC104" i="1"/>
  <c r="Z126" i="1"/>
  <c r="BR126" i="1"/>
  <c r="CM126" i="1"/>
  <c r="CY126" i="1"/>
  <c r="DK126" i="1"/>
  <c r="DR126" i="1"/>
  <c r="DV126" i="1"/>
  <c r="DZ126" i="1"/>
  <c r="ED126" i="1"/>
  <c r="EH126" i="1"/>
  <c r="EL126" i="1"/>
  <c r="CF46" i="1"/>
  <c r="K60" i="1"/>
  <c r="M60" i="1" s="1"/>
  <c r="K65" i="1"/>
  <c r="O65" i="1" s="1"/>
  <c r="BD126" i="1"/>
  <c r="M8" i="1"/>
  <c r="AM23" i="1"/>
  <c r="M25" i="1"/>
  <c r="AQ25" i="1"/>
  <c r="AS25" i="1" s="1"/>
  <c r="AQ63" i="1"/>
  <c r="AS63" i="1" s="1"/>
  <c r="P69" i="1"/>
  <c r="T71" i="1"/>
  <c r="BU126" i="1"/>
  <c r="BB46" i="1"/>
  <c r="G59" i="1"/>
  <c r="H59" i="1" s="1"/>
  <c r="BH79" i="1"/>
  <c r="BH83" i="1"/>
  <c r="AJ126" i="1"/>
  <c r="G4" i="1"/>
  <c r="H4" i="1" s="1"/>
  <c r="G6" i="1"/>
  <c r="H6" i="1" s="1"/>
  <c r="AH36" i="1"/>
  <c r="AP49" i="1"/>
  <c r="BL54" i="1"/>
  <c r="AK79" i="1"/>
  <c r="J102" i="1"/>
  <c r="AG106" i="1"/>
  <c r="K112" i="1"/>
  <c r="AN36" i="1"/>
  <c r="AQ41" i="1"/>
  <c r="AS41" i="1" s="1"/>
  <c r="J46" i="1"/>
  <c r="AF46" i="1"/>
  <c r="CB54" i="1"/>
  <c r="K59" i="1"/>
  <c r="M59" i="1" s="1"/>
  <c r="BN60" i="1"/>
  <c r="BZ60" i="1"/>
  <c r="G63" i="1"/>
  <c r="H63" i="1" s="1"/>
  <c r="BN63" i="1"/>
  <c r="BZ63" i="1"/>
  <c r="BL79" i="1"/>
  <c r="BN83" i="1"/>
  <c r="AO106" i="1"/>
  <c r="L126" i="1"/>
  <c r="AB126" i="1"/>
  <c r="AV126" i="1"/>
  <c r="BP126" i="1"/>
  <c r="BV126" i="1"/>
  <c r="CJ126" i="1"/>
  <c r="CS126" i="1"/>
  <c r="DE126" i="1"/>
  <c r="DP126" i="1"/>
  <c r="DT126" i="1"/>
  <c r="DX126" i="1"/>
  <c r="EB126" i="1"/>
  <c r="EF126" i="1"/>
  <c r="EJ126" i="1"/>
  <c r="EN126" i="1"/>
  <c r="BK6" i="1"/>
  <c r="BM6" i="1" s="1"/>
  <c r="CB36" i="1"/>
  <c r="AN41" i="1"/>
  <c r="AI85" i="1"/>
  <c r="AM85" i="1" s="1"/>
  <c r="BH6" i="1"/>
  <c r="BL6" i="1"/>
  <c r="AQ8" i="1"/>
  <c r="AS8" i="1" s="1"/>
  <c r="AM20" i="1"/>
  <c r="AP28" i="1"/>
  <c r="CK124" i="1"/>
  <c r="CZ124" i="1"/>
  <c r="DL124" i="1"/>
  <c r="AH29" i="1"/>
  <c r="J34" i="1"/>
  <c r="AI36" i="1"/>
  <c r="AM36" i="1" s="1"/>
  <c r="J49" i="1"/>
  <c r="AQ49" i="1"/>
  <c r="AS49" i="1" s="1"/>
  <c r="J59" i="1"/>
  <c r="T59" i="1"/>
  <c r="BK60" i="1"/>
  <c r="BM60" i="1" s="1"/>
  <c r="AQ69" i="1"/>
  <c r="AS69" i="1" s="1"/>
  <c r="BZ69" i="1"/>
  <c r="CE71" i="1"/>
  <c r="T73" i="1"/>
  <c r="BI73" i="1"/>
  <c r="S79" i="1"/>
  <c r="U79" i="1" s="1"/>
  <c r="BC79" i="1"/>
  <c r="BG79" i="1" s="1"/>
  <c r="Z94" i="1"/>
  <c r="AZ98" i="1"/>
  <c r="BJ6" i="1"/>
  <c r="AH8" i="1"/>
  <c r="AN28" i="1"/>
  <c r="AR28" i="1"/>
  <c r="CT124" i="1"/>
  <c r="DF124" i="1"/>
  <c r="V41" i="1"/>
  <c r="AI41" i="1"/>
  <c r="AI42" i="1" s="1"/>
  <c r="AT63" i="1"/>
  <c r="P65" i="1"/>
  <c r="AG65" i="1"/>
  <c r="BB65" i="1"/>
  <c r="CB69" i="1"/>
  <c r="CB70" i="1" s="1"/>
  <c r="AT71" i="1"/>
  <c r="S85" i="1"/>
  <c r="U85" i="1" s="1"/>
  <c r="AH85" i="1"/>
  <c r="AY106" i="1"/>
  <c r="W6" i="1"/>
  <c r="Y6" i="1" s="1"/>
  <c r="M6" i="1"/>
  <c r="AP60" i="1"/>
  <c r="AR60" i="1"/>
  <c r="AQ60" i="1"/>
  <c r="AS60" i="1" s="1"/>
  <c r="AT62" i="1"/>
  <c r="AQ62" i="1"/>
  <c r="AS62" i="1" s="1"/>
  <c r="AR62" i="1"/>
  <c r="BE4" i="1"/>
  <c r="DC99" i="1"/>
  <c r="DL93" i="1"/>
  <c r="AM34" i="1"/>
  <c r="BJ41" i="1"/>
  <c r="BL41" i="1"/>
  <c r="BK41" i="1"/>
  <c r="BM41" i="1" s="1"/>
  <c r="AN49" i="1"/>
  <c r="AH49" i="1"/>
  <c r="N79" i="1"/>
  <c r="J79" i="1"/>
  <c r="K79" i="1"/>
  <c r="K82" i="1" s="1"/>
  <c r="AQ83" i="1"/>
  <c r="AS83" i="1" s="1"/>
  <c r="AP83" i="1"/>
  <c r="AT83" i="1"/>
  <c r="AR83" i="1"/>
  <c r="BH25" i="1"/>
  <c r="BB25" i="1"/>
  <c r="O6" i="1"/>
  <c r="CZ93" i="1"/>
  <c r="P6" i="1"/>
  <c r="AH6" i="1"/>
  <c r="AI6" i="1"/>
  <c r="AK6" i="1" s="1"/>
  <c r="AR6" i="1"/>
  <c r="AN25" i="1"/>
  <c r="AH25" i="1"/>
  <c r="R28" i="1"/>
  <c r="V28" i="1"/>
  <c r="V93" i="1" s="1"/>
  <c r="T28" i="1"/>
  <c r="BL29" i="1"/>
  <c r="BK29" i="1"/>
  <c r="BM29" i="1" s="1"/>
  <c r="BF34" i="1"/>
  <c r="BH34" i="1"/>
  <c r="BB34" i="1"/>
  <c r="BI34" i="1"/>
  <c r="BN34" i="1" s="1"/>
  <c r="BC34" i="1"/>
  <c r="BB4" i="1"/>
  <c r="J6" i="1"/>
  <c r="AN6" i="1"/>
  <c r="AT6" i="1"/>
  <c r="BC6" i="1"/>
  <c r="BE6" i="1" s="1"/>
  <c r="BH8" i="1"/>
  <c r="BB8" i="1"/>
  <c r="BZ25" i="1"/>
  <c r="CB25" i="1"/>
  <c r="CB27" i="1" s="1"/>
  <c r="BX27" i="1"/>
  <c r="BZ27" i="1" s="1"/>
  <c r="N29" i="1"/>
  <c r="P29" i="1"/>
  <c r="J29" i="1"/>
  <c r="K29" i="1"/>
  <c r="BN41" i="1"/>
  <c r="T46" i="1"/>
  <c r="R46" i="1"/>
  <c r="V46" i="1"/>
  <c r="S46" i="1"/>
  <c r="U46" i="1" s="1"/>
  <c r="AH54" i="1"/>
  <c r="AI54" i="1"/>
  <c r="AI56" i="1" s="1"/>
  <c r="AN54" i="1"/>
  <c r="S63" i="1"/>
  <c r="U63" i="1" s="1"/>
  <c r="T63" i="1"/>
  <c r="S65" i="1"/>
  <c r="U65" i="1" s="1"/>
  <c r="T65" i="1"/>
  <c r="BN65" i="1"/>
  <c r="BK65" i="1"/>
  <c r="BM65" i="1" s="1"/>
  <c r="BL65" i="1"/>
  <c r="AN73" i="1"/>
  <c r="AH73" i="1"/>
  <c r="M83" i="1"/>
  <c r="O83" i="1"/>
  <c r="O84" i="1" s="1"/>
  <c r="K84" i="1"/>
  <c r="M84" i="1" s="1"/>
  <c r="W83" i="1"/>
  <c r="Y83" i="1" s="1"/>
  <c r="BF85" i="1"/>
  <c r="BB85" i="1"/>
  <c r="BH85" i="1"/>
  <c r="O21" i="1"/>
  <c r="M21" i="1"/>
  <c r="W21" i="1"/>
  <c r="Y21" i="1" s="1"/>
  <c r="O36" i="1"/>
  <c r="K37" i="1"/>
  <c r="M37" i="1" s="1"/>
  <c r="W36" i="1"/>
  <c r="Y36" i="1" s="1"/>
  <c r="K39" i="1"/>
  <c r="M39" i="1" s="1"/>
  <c r="G104" i="1"/>
  <c r="H104" i="1" s="1"/>
  <c r="H103" i="1"/>
  <c r="G105" i="1"/>
  <c r="H105" i="1" s="1"/>
  <c r="AP6" i="1"/>
  <c r="CQ124" i="1"/>
  <c r="DC124" i="1"/>
  <c r="DO124" i="1"/>
  <c r="CE29" i="1"/>
  <c r="CG29" i="1" s="1"/>
  <c r="CF29" i="1"/>
  <c r="AT60" i="1"/>
  <c r="G71" i="1"/>
  <c r="H71" i="1" s="1"/>
  <c r="G69" i="1"/>
  <c r="H69" i="1" s="1"/>
  <c r="G62" i="1"/>
  <c r="H62" i="1" s="1"/>
  <c r="G49" i="1"/>
  <c r="H49" i="1" s="1"/>
  <c r="G34" i="1"/>
  <c r="H34" i="1" s="1"/>
  <c r="G8" i="1"/>
  <c r="H8" i="1" s="1"/>
  <c r="G85" i="1"/>
  <c r="H85" i="1" s="1"/>
  <c r="G54" i="1"/>
  <c r="H54" i="1" s="1"/>
  <c r="G41" i="1"/>
  <c r="H41" i="1" s="1"/>
  <c r="G79" i="1"/>
  <c r="H79" i="1" s="1"/>
  <c r="G60" i="1"/>
  <c r="H60" i="1" s="1"/>
  <c r="G29" i="1"/>
  <c r="H29" i="1" s="1"/>
  <c r="G28" i="1"/>
  <c r="H28" i="1" s="1"/>
  <c r="W23" i="1"/>
  <c r="Y23" i="1" s="1"/>
  <c r="O25" i="1"/>
  <c r="O27" i="1" s="1"/>
  <c r="BZ124" i="1"/>
  <c r="CW124" i="1"/>
  <c r="DI124" i="1"/>
  <c r="AQ29" i="1"/>
  <c r="AS29" i="1" s="1"/>
  <c r="S34" i="1"/>
  <c r="U34" i="1" s="1"/>
  <c r="BB36" i="1"/>
  <c r="BH36" i="1"/>
  <c r="BZ36" i="1"/>
  <c r="R41" i="1"/>
  <c r="AT41" i="1"/>
  <c r="BC41" i="1"/>
  <c r="BE41" i="1" s="1"/>
  <c r="BJ60" i="1"/>
  <c r="BL62" i="1"/>
  <c r="K63" i="1"/>
  <c r="O63" i="1" s="1"/>
  <c r="BJ63" i="1"/>
  <c r="CB63" i="1"/>
  <c r="AT69" i="1"/>
  <c r="AI83" i="1"/>
  <c r="AI84" i="1" s="1"/>
  <c r="BJ83" i="1"/>
  <c r="BP94" i="1"/>
  <c r="AH103" i="1"/>
  <c r="R104" i="1"/>
  <c r="BK8" i="1"/>
  <c r="BM8" i="1" s="1"/>
  <c r="BB29" i="1"/>
  <c r="AH34" i="1"/>
  <c r="AN34" i="1"/>
  <c r="BC36" i="1"/>
  <c r="T41" i="1"/>
  <c r="BH41" i="1"/>
  <c r="BH46" i="1"/>
  <c r="CE46" i="1"/>
  <c r="CG46" i="1" s="1"/>
  <c r="P49" i="1"/>
  <c r="S59" i="1"/>
  <c r="U59" i="1" s="1"/>
  <c r="T60" i="1"/>
  <c r="P63" i="1"/>
  <c r="AP63" i="1"/>
  <c r="BK63" i="1"/>
  <c r="BM63" i="1" s="1"/>
  <c r="BH65" i="1"/>
  <c r="K69" i="1"/>
  <c r="M69" i="1" s="1"/>
  <c r="AP69" i="1"/>
  <c r="K71" i="1"/>
  <c r="M71" i="1" s="1"/>
  <c r="AP71" i="1"/>
  <c r="R73" i="1"/>
  <c r="BB73" i="1"/>
  <c r="BJ79" i="1"/>
  <c r="AN83" i="1"/>
  <c r="BC83" i="1"/>
  <c r="BC84" i="1" s="1"/>
  <c r="BE84" i="1" s="1"/>
  <c r="BL83" i="1"/>
  <c r="AN85" i="1"/>
  <c r="AD94" i="1"/>
  <c r="AG102" i="1"/>
  <c r="AH102" i="1" s="1"/>
  <c r="W25" i="1"/>
  <c r="Y25" i="1" s="1"/>
  <c r="BC46" i="1"/>
  <c r="BG46" i="1" s="1"/>
  <c r="K49" i="1"/>
  <c r="O49" i="1" s="1"/>
  <c r="AT49" i="1"/>
  <c r="BH54" i="1"/>
  <c r="P59" i="1"/>
  <c r="P60" i="1"/>
  <c r="BX61" i="1"/>
  <c r="CB61" i="1" s="1"/>
  <c r="BC65" i="1"/>
  <c r="V73" i="1"/>
  <c r="AE106" i="1"/>
  <c r="AL46" i="1"/>
  <c r="AN46" i="1"/>
  <c r="AI46" i="1"/>
  <c r="AH46" i="1"/>
  <c r="AM42" i="1"/>
  <c r="AK42" i="1"/>
  <c r="BG58" i="1"/>
  <c r="BE58" i="1"/>
  <c r="AQ4" i="1"/>
  <c r="BS123" i="1"/>
  <c r="BS126" i="1" s="1"/>
  <c r="BS99" i="1"/>
  <c r="BS91" i="1"/>
  <c r="BS149" i="1" s="1"/>
  <c r="DF123" i="1"/>
  <c r="DF126" i="1" s="1"/>
  <c r="DF99" i="1"/>
  <c r="DF91" i="1"/>
  <c r="DF149" i="1" s="1"/>
  <c r="DF92" i="1"/>
  <c r="CT93" i="1"/>
  <c r="DF93" i="1"/>
  <c r="S6" i="1"/>
  <c r="U6" i="1" s="1"/>
  <c r="AL6" i="1"/>
  <c r="BF6" i="1"/>
  <c r="BC7" i="1"/>
  <c r="S8" i="1"/>
  <c r="U8" i="1" s="1"/>
  <c r="O20" i="1"/>
  <c r="S25" i="1"/>
  <c r="U25" i="1" s="1"/>
  <c r="CH25" i="1"/>
  <c r="K28" i="1"/>
  <c r="P28" i="1"/>
  <c r="AG124" i="1"/>
  <c r="AG93" i="1"/>
  <c r="AL28" i="1"/>
  <c r="BT124" i="1"/>
  <c r="BT93" i="1"/>
  <c r="S29" i="1"/>
  <c r="U29" i="1" s="1"/>
  <c r="CH29" i="1"/>
  <c r="K31" i="1"/>
  <c r="AQ34" i="1"/>
  <c r="AS34" i="1" s="1"/>
  <c r="AQ36" i="1"/>
  <c r="AS36" i="1" s="1"/>
  <c r="BK36" i="1"/>
  <c r="BM36" i="1" s="1"/>
  <c r="CF36" i="1"/>
  <c r="K41" i="1"/>
  <c r="P41" i="1"/>
  <c r="AL41" i="1"/>
  <c r="BF41" i="1"/>
  <c r="AQ46" i="1"/>
  <c r="AS46" i="1" s="1"/>
  <c r="BK46" i="1"/>
  <c r="BM46" i="1" s="1"/>
  <c r="CR123" i="1"/>
  <c r="CR126" i="1" s="1"/>
  <c r="CR99" i="1"/>
  <c r="CR92" i="1"/>
  <c r="CR94" i="1" s="1"/>
  <c r="CR91" i="1"/>
  <c r="CR149" i="1" s="1"/>
  <c r="S49" i="1"/>
  <c r="U49" i="1" s="1"/>
  <c r="BL49" i="1"/>
  <c r="BK49" i="1"/>
  <c r="BM49" i="1" s="1"/>
  <c r="AM54" i="1"/>
  <c r="AR59" i="1"/>
  <c r="AQ59" i="1"/>
  <c r="AS59" i="1" s="1"/>
  <c r="AT59" i="1"/>
  <c r="AP59" i="1"/>
  <c r="AZ124" i="1"/>
  <c r="AZ93" i="1"/>
  <c r="AN60" i="1"/>
  <c r="AI60" i="1"/>
  <c r="AH60" i="1"/>
  <c r="AL62" i="1"/>
  <c r="AN62" i="1"/>
  <c r="AI62" i="1"/>
  <c r="AN63" i="1"/>
  <c r="AI63" i="1"/>
  <c r="AH63" i="1"/>
  <c r="BH63" i="1"/>
  <c r="BC63" i="1"/>
  <c r="BB63" i="1"/>
  <c r="AO65" i="1"/>
  <c r="AO91" i="1" s="1"/>
  <c r="AO149" i="1" s="1"/>
  <c r="AN65" i="1"/>
  <c r="AI65" i="1"/>
  <c r="AH65" i="1"/>
  <c r="W84" i="1"/>
  <c r="Y84" i="1" s="1"/>
  <c r="BS92" i="1"/>
  <c r="CN123" i="1"/>
  <c r="CN126" i="1" s="1"/>
  <c r="CN99" i="1"/>
  <c r="CN92" i="1"/>
  <c r="Q123" i="1"/>
  <c r="Q126" i="1" s="1"/>
  <c r="Q99" i="1"/>
  <c r="Q95" i="1"/>
  <c r="Q92" i="1"/>
  <c r="Q91" i="1"/>
  <c r="Q149" i="1" s="1"/>
  <c r="AC123" i="1"/>
  <c r="AC126" i="1" s="1"/>
  <c r="AC99" i="1"/>
  <c r="AC91" i="1"/>
  <c r="AC149" i="1" s="1"/>
  <c r="AC92" i="1"/>
  <c r="AW123" i="1"/>
  <c r="AW126" i="1" s="1"/>
  <c r="AW99" i="1"/>
  <c r="AW91" i="1"/>
  <c r="AW149" i="1" s="1"/>
  <c r="AW92" i="1"/>
  <c r="BK4" i="1"/>
  <c r="CA123" i="1"/>
  <c r="CA126" i="1" s="1"/>
  <c r="CA95" i="1"/>
  <c r="CA99" i="1"/>
  <c r="CA91" i="1"/>
  <c r="CA149" i="1" s="1"/>
  <c r="CA92" i="1"/>
  <c r="CA94" i="1" s="1"/>
  <c r="CT123" i="1"/>
  <c r="CT126" i="1" s="1"/>
  <c r="CT99" i="1"/>
  <c r="CT91" i="1"/>
  <c r="CT149" i="1" s="1"/>
  <c r="I95" i="1"/>
  <c r="I99" i="1" s="1"/>
  <c r="I91" i="1"/>
  <c r="I149" i="1" s="1"/>
  <c r="N4" i="1"/>
  <c r="R4" i="1"/>
  <c r="V4" i="1"/>
  <c r="AE99" i="1"/>
  <c r="AE123" i="1"/>
  <c r="AE126" i="1" s="1"/>
  <c r="AE91" i="1"/>
  <c r="AE149" i="1" s="1"/>
  <c r="AE95" i="1"/>
  <c r="AE92" i="1"/>
  <c r="AY99" i="1"/>
  <c r="AY95" i="1"/>
  <c r="AZ95" i="1" s="1"/>
  <c r="AY123" i="1"/>
  <c r="AY126" i="1" s="1"/>
  <c r="AY91" i="1"/>
  <c r="AY149" i="1" s="1"/>
  <c r="AY92" i="1"/>
  <c r="BT123" i="1"/>
  <c r="BT126" i="1" s="1"/>
  <c r="BT92" i="1"/>
  <c r="BT99" i="1"/>
  <c r="BT91" i="1"/>
  <c r="BT149" i="1" s="1"/>
  <c r="DI123" i="1"/>
  <c r="DI126" i="1" s="1"/>
  <c r="DI99" i="1"/>
  <c r="DI91" i="1"/>
  <c r="DI149" i="1" s="1"/>
  <c r="DI92" i="1"/>
  <c r="CW93" i="1"/>
  <c r="DI93" i="1"/>
  <c r="T6" i="1"/>
  <c r="T8" i="1"/>
  <c r="AL8" i="1"/>
  <c r="AP8" i="1"/>
  <c r="AT8" i="1"/>
  <c r="BF8" i="1"/>
  <c r="BJ8" i="1"/>
  <c r="BN8" i="1"/>
  <c r="BZ8" i="1"/>
  <c r="CD123" i="1"/>
  <c r="CD126" i="1" s="1"/>
  <c r="CD99" i="1"/>
  <c r="CD92" i="1"/>
  <c r="CD94" i="1" s="1"/>
  <c r="CD95" i="1"/>
  <c r="CH8" i="1"/>
  <c r="DA123" i="1"/>
  <c r="DA126" i="1" s="1"/>
  <c r="DA99" i="1"/>
  <c r="DA92" i="1"/>
  <c r="DA91" i="1"/>
  <c r="DA149" i="1" s="1"/>
  <c r="DG123" i="1"/>
  <c r="DG126" i="1" s="1"/>
  <c r="DG99" i="1"/>
  <c r="DG92" i="1"/>
  <c r="DG94" i="1" s="1"/>
  <c r="DG91" i="1"/>
  <c r="DG149" i="1" s="1"/>
  <c r="DM123" i="1"/>
  <c r="DM126" i="1" s="1"/>
  <c r="DM99" i="1"/>
  <c r="DM92" i="1"/>
  <c r="DM94" i="1" s="1"/>
  <c r="DM91" i="1"/>
  <c r="DM149" i="1" s="1"/>
  <c r="T25" i="1"/>
  <c r="AL25" i="1"/>
  <c r="AP25" i="1"/>
  <c r="AT25" i="1"/>
  <c r="BF25" i="1"/>
  <c r="W27" i="1"/>
  <c r="Y27" i="1" s="1"/>
  <c r="Q124" i="1"/>
  <c r="Q93" i="1"/>
  <c r="Q94" i="1" s="1"/>
  <c r="AC124" i="1"/>
  <c r="AC93" i="1"/>
  <c r="AH28" i="1"/>
  <c r="AW124" i="1"/>
  <c r="AW93" i="1"/>
  <c r="T29" i="1"/>
  <c r="AL29" i="1"/>
  <c r="AP29" i="1"/>
  <c r="AT29" i="1"/>
  <c r="BF29" i="1"/>
  <c r="BJ29" i="1"/>
  <c r="BN29" i="1"/>
  <c r="N34" i="1"/>
  <c r="R34" i="1"/>
  <c r="V34" i="1"/>
  <c r="AR34" i="1"/>
  <c r="M36" i="1"/>
  <c r="AR36" i="1"/>
  <c r="BL36" i="1"/>
  <c r="AM41" i="1"/>
  <c r="BG41" i="1"/>
  <c r="N46" i="1"/>
  <c r="AR46" i="1"/>
  <c r="BL46" i="1"/>
  <c r="K51" i="1"/>
  <c r="T49" i="1"/>
  <c r="AL49" i="1"/>
  <c r="BH49" i="1"/>
  <c r="BC49" i="1"/>
  <c r="BB49" i="1"/>
  <c r="BZ58" i="1"/>
  <c r="BH60" i="1"/>
  <c r="BC60" i="1"/>
  <c r="BB60" i="1"/>
  <c r="CF60" i="1"/>
  <c r="CE60" i="1"/>
  <c r="CG60" i="1" s="1"/>
  <c r="T62" i="1"/>
  <c r="S62" i="1"/>
  <c r="U62" i="1" s="1"/>
  <c r="V62" i="1"/>
  <c r="R62" i="1"/>
  <c r="BG62" i="1"/>
  <c r="BE62" i="1"/>
  <c r="BF63" i="1"/>
  <c r="CF63" i="1"/>
  <c r="CE63" i="1"/>
  <c r="CG63" i="1" s="1"/>
  <c r="AL65" i="1"/>
  <c r="CD91" i="1"/>
  <c r="CD149" i="1" s="1"/>
  <c r="CT92" i="1"/>
  <c r="CC123" i="1"/>
  <c r="CC126" i="1" s="1"/>
  <c r="CC99" i="1"/>
  <c r="CC91" i="1"/>
  <c r="CC149" i="1" s="1"/>
  <c r="CC92" i="1"/>
  <c r="CC94" i="1" s="1"/>
  <c r="CZ123" i="1"/>
  <c r="CZ126" i="1" s="1"/>
  <c r="CZ99" i="1"/>
  <c r="CZ91" i="1"/>
  <c r="CZ149" i="1" s="1"/>
  <c r="CZ92" i="1"/>
  <c r="DL123" i="1"/>
  <c r="DL126" i="1" s="1"/>
  <c r="DL99" i="1"/>
  <c r="DL91" i="1"/>
  <c r="DL149" i="1" s="1"/>
  <c r="DL92" i="1"/>
  <c r="DL94" i="1" s="1"/>
  <c r="AE124" i="1"/>
  <c r="AE93" i="1"/>
  <c r="AE94" i="1" s="1"/>
  <c r="AR93" i="1"/>
  <c r="CH36" i="1"/>
  <c r="N41" i="1"/>
  <c r="BC43" i="1"/>
  <c r="CU123" i="1"/>
  <c r="CU126" i="1" s="1"/>
  <c r="CU99" i="1"/>
  <c r="CU92" i="1"/>
  <c r="CU94" i="1" s="1"/>
  <c r="AN69" i="1"/>
  <c r="AI69" i="1"/>
  <c r="AH69" i="1"/>
  <c r="CF69" i="1"/>
  <c r="CE69" i="1"/>
  <c r="CG69" i="1" s="1"/>
  <c r="AN71" i="1"/>
  <c r="AI71" i="1"/>
  <c r="AH71" i="1"/>
  <c r="T83" i="1"/>
  <c r="S83" i="1"/>
  <c r="U83" i="1" s="1"/>
  <c r="V83" i="1"/>
  <c r="R83" i="1"/>
  <c r="BX123" i="1"/>
  <c r="BX126" i="1" s="1"/>
  <c r="BX92" i="1"/>
  <c r="BX99" i="1"/>
  <c r="CN93" i="1"/>
  <c r="CN91" i="1"/>
  <c r="N28" i="1"/>
  <c r="K4" i="1"/>
  <c r="P4" i="1"/>
  <c r="T4" i="1"/>
  <c r="AG4" i="1"/>
  <c r="AP4" i="1"/>
  <c r="AT4" i="1"/>
  <c r="BA123" i="1"/>
  <c r="BA126" i="1" s="1"/>
  <c r="BA99" i="1"/>
  <c r="BA95" i="1"/>
  <c r="BA91" i="1"/>
  <c r="BA149" i="1" s="1"/>
  <c r="BA92" i="1"/>
  <c r="BF4" i="1"/>
  <c r="BJ4" i="1"/>
  <c r="BN4" i="1"/>
  <c r="BZ4" i="1"/>
  <c r="CQ123" i="1"/>
  <c r="CQ126" i="1" s="1"/>
  <c r="CQ91" i="1"/>
  <c r="CQ149" i="1" s="1"/>
  <c r="CQ99" i="1"/>
  <c r="CQ92" i="1"/>
  <c r="DC123" i="1"/>
  <c r="DC126" i="1" s="1"/>
  <c r="DC91" i="1"/>
  <c r="DC149" i="1" s="1"/>
  <c r="DC92" i="1"/>
  <c r="DO123" i="1"/>
  <c r="DO126" i="1" s="1"/>
  <c r="DO99" i="1"/>
  <c r="DO91" i="1"/>
  <c r="DO149" i="1" s="1"/>
  <c r="DO92" i="1"/>
  <c r="Y5" i="1"/>
  <c r="BC5" i="1"/>
  <c r="CQ93" i="1"/>
  <c r="DC93" i="1"/>
  <c r="DC94" i="1" s="1"/>
  <c r="DO93" i="1"/>
  <c r="R6" i="1"/>
  <c r="R8" i="1"/>
  <c r="AI8" i="1"/>
  <c r="BC8" i="1"/>
  <c r="CF8" i="1"/>
  <c r="CO123" i="1"/>
  <c r="CO126" i="1" s="1"/>
  <c r="CO99" i="1"/>
  <c r="CO92" i="1"/>
  <c r="CO94" i="1" s="1"/>
  <c r="CO91" i="1"/>
  <c r="CO149" i="1" s="1"/>
  <c r="CX123" i="1"/>
  <c r="CX126" i="1" s="1"/>
  <c r="CX99" i="1"/>
  <c r="CX92" i="1"/>
  <c r="CX94" i="1" s="1"/>
  <c r="CX91" i="1"/>
  <c r="CX149" i="1" s="1"/>
  <c r="DD123" i="1"/>
  <c r="DD126" i="1" s="1"/>
  <c r="DD99" i="1"/>
  <c r="DD92" i="1"/>
  <c r="DD94" i="1" s="1"/>
  <c r="DD91" i="1"/>
  <c r="DD149" i="1" s="1"/>
  <c r="DJ123" i="1"/>
  <c r="DJ126" i="1" s="1"/>
  <c r="DJ99" i="1"/>
  <c r="DJ92" i="1"/>
  <c r="DJ94" i="1" s="1"/>
  <c r="DJ91" i="1"/>
  <c r="DJ149" i="1" s="1"/>
  <c r="CK123" i="1"/>
  <c r="CK126" i="1" s="1"/>
  <c r="CK99" i="1"/>
  <c r="CK91" i="1"/>
  <c r="CK149" i="1" s="1"/>
  <c r="M20" i="1"/>
  <c r="R25" i="1"/>
  <c r="AI25" i="1"/>
  <c r="BC25" i="1"/>
  <c r="S28" i="1"/>
  <c r="AF28" i="1"/>
  <c r="AK28" i="1"/>
  <c r="AO124" i="1"/>
  <c r="AO93" i="1"/>
  <c r="AS28" i="1"/>
  <c r="R29" i="1"/>
  <c r="AI29" i="1"/>
  <c r="BC29" i="1"/>
  <c r="K34" i="1"/>
  <c r="AP34" i="1"/>
  <c r="AP36" i="1"/>
  <c r="BJ36" i="1"/>
  <c r="AK41" i="1"/>
  <c r="K46" i="1"/>
  <c r="AP46" i="1"/>
  <c r="BJ46" i="1"/>
  <c r="BZ46" i="1"/>
  <c r="CW46" i="1"/>
  <c r="CW92" i="1" s="1"/>
  <c r="BX47" i="1"/>
  <c r="R49" i="1"/>
  <c r="AI49" i="1"/>
  <c r="BF49" i="1"/>
  <c r="BN49" i="1"/>
  <c r="BG54" i="1"/>
  <c r="BE54" i="1"/>
  <c r="BI124" i="1"/>
  <c r="BI93" i="1"/>
  <c r="BL59" i="1"/>
  <c r="BK59" i="1"/>
  <c r="BN59" i="1"/>
  <c r="BJ59" i="1"/>
  <c r="W69" i="1"/>
  <c r="Y69" i="1" s="1"/>
  <c r="AL69" i="1"/>
  <c r="BI69" i="1"/>
  <c r="BH69" i="1"/>
  <c r="BC69" i="1"/>
  <c r="BB69" i="1"/>
  <c r="CH69" i="1"/>
  <c r="AL71" i="1"/>
  <c r="AR73" i="1"/>
  <c r="AQ73" i="1"/>
  <c r="AS73" i="1" s="1"/>
  <c r="AT73" i="1"/>
  <c r="AP73" i="1"/>
  <c r="BL73" i="1"/>
  <c r="BK73" i="1"/>
  <c r="BM73" i="1" s="1"/>
  <c r="BN73" i="1"/>
  <c r="BJ73" i="1"/>
  <c r="P85" i="1"/>
  <c r="K85" i="1"/>
  <c r="J85" i="1"/>
  <c r="CU91" i="1"/>
  <c r="CU149" i="1" s="1"/>
  <c r="N54" i="1"/>
  <c r="AL59" i="1"/>
  <c r="BA124" i="1"/>
  <c r="BA93" i="1"/>
  <c r="BF59" i="1"/>
  <c r="BF124" i="1" s="1"/>
  <c r="N62" i="1"/>
  <c r="BX67" i="1"/>
  <c r="CB67" i="1" s="1"/>
  <c r="AQ71" i="1"/>
  <c r="AS71" i="1" s="1"/>
  <c r="CB71" i="1"/>
  <c r="CB72" i="1" s="1"/>
  <c r="CF71" i="1"/>
  <c r="BX72" i="1"/>
  <c r="BZ72" i="1" s="1"/>
  <c r="O73" i="1"/>
  <c r="W73" i="1"/>
  <c r="Y73" i="1" s="1"/>
  <c r="AL73" i="1"/>
  <c r="BF73" i="1"/>
  <c r="P79" i="1"/>
  <c r="T79" i="1"/>
  <c r="AT85" i="1"/>
  <c r="AP85" i="1"/>
  <c r="BC85" i="1"/>
  <c r="BI85" i="1"/>
  <c r="CB85" i="1"/>
  <c r="J54" i="1"/>
  <c r="AL54" i="1"/>
  <c r="AP54" i="1"/>
  <c r="AT54" i="1"/>
  <c r="BF54" i="1"/>
  <c r="BJ54" i="1"/>
  <c r="BN54" i="1"/>
  <c r="BZ54" i="1"/>
  <c r="AH59" i="1"/>
  <c r="BB59" i="1"/>
  <c r="BS124" i="1"/>
  <c r="BS93" i="1"/>
  <c r="N60" i="1"/>
  <c r="R60" i="1"/>
  <c r="V60" i="1"/>
  <c r="BZ61" i="1"/>
  <c r="J62" i="1"/>
  <c r="AF62" i="1"/>
  <c r="BJ62" i="1"/>
  <c r="BN62" i="1"/>
  <c r="N63" i="1"/>
  <c r="R63" i="1"/>
  <c r="V63" i="1"/>
  <c r="BZ64" i="1"/>
  <c r="N65" i="1"/>
  <c r="R65" i="1"/>
  <c r="V65" i="1"/>
  <c r="N69" i="1"/>
  <c r="R69" i="1"/>
  <c r="V69" i="1"/>
  <c r="N71" i="1"/>
  <c r="R71" i="1"/>
  <c r="V71" i="1"/>
  <c r="BF79" i="1"/>
  <c r="AL83" i="1"/>
  <c r="BF83" i="1"/>
  <c r="V85" i="1"/>
  <c r="AU94" i="1"/>
  <c r="K54" i="1"/>
  <c r="R59" i="1"/>
  <c r="AI59" i="1"/>
  <c r="AY124" i="1"/>
  <c r="AY93" i="1"/>
  <c r="AY94" i="1" s="1"/>
  <c r="BC59" i="1"/>
  <c r="BH59" i="1"/>
  <c r="BH124" i="1" s="1"/>
  <c r="K62" i="1"/>
  <c r="AP62" i="1"/>
  <c r="BJ65" i="1"/>
  <c r="AI73" i="1"/>
  <c r="BC73" i="1"/>
  <c r="R79" i="1"/>
  <c r="R85" i="1"/>
  <c r="AR85" i="1"/>
  <c r="AZ85" i="1"/>
  <c r="AZ123" i="1" s="1"/>
  <c r="AZ126" i="1" s="1"/>
  <c r="AB149" i="1"/>
  <c r="AH96" i="1"/>
  <c r="AP97" i="1"/>
  <c r="AH97" i="1"/>
  <c r="AV149" i="1"/>
  <c r="AZ97" i="1"/>
  <c r="BB96" i="1"/>
  <c r="BJ97" i="1"/>
  <c r="AB94" i="1"/>
  <c r="AX94" i="1"/>
  <c r="BR94" i="1"/>
  <c r="BV94" i="1"/>
  <c r="DA94" i="1"/>
  <c r="AF96" i="1"/>
  <c r="BB97" i="1"/>
  <c r="BO94" i="1"/>
  <c r="BW94" i="1"/>
  <c r="AP96" i="1"/>
  <c r="AW101" i="1"/>
  <c r="BI101" i="1"/>
  <c r="AY101" i="1"/>
  <c r="BA101" i="1"/>
  <c r="BA102" i="1" s="1"/>
  <c r="AA94" i="1"/>
  <c r="AV94" i="1"/>
  <c r="BQ94" i="1"/>
  <c r="BU94" i="1"/>
  <c r="BJ96" i="1"/>
  <c r="AF97" i="1"/>
  <c r="Q102" i="1"/>
  <c r="R100" i="1"/>
  <c r="E101" i="1"/>
  <c r="R101" i="1"/>
  <c r="H96" i="1"/>
  <c r="AZ96" i="1"/>
  <c r="H102" i="1"/>
  <c r="BB100" i="1"/>
  <c r="BA106" i="1"/>
  <c r="AC101" i="1"/>
  <c r="AO101" i="1"/>
  <c r="AE101" i="1"/>
  <c r="J103" i="1"/>
  <c r="I106" i="1"/>
  <c r="Q103" i="1"/>
  <c r="R103" i="1" s="1"/>
  <c r="J104" i="1"/>
  <c r="AE111" i="1"/>
  <c r="AG111" i="1" s="1"/>
  <c r="AO111" i="1" s="1"/>
  <c r="AE110" i="1"/>
  <c r="AG110" i="1" s="1"/>
  <c r="AO110" i="1" s="1"/>
  <c r="AO105" i="1"/>
  <c r="AP105" i="1" s="1"/>
  <c r="H100" i="1"/>
  <c r="AH100" i="1"/>
  <c r="G101" i="1"/>
  <c r="AP103" i="1"/>
  <c r="G106" i="1"/>
  <c r="AY110" i="1"/>
  <c r="BA110" i="1" s="1"/>
  <c r="BI110" i="1" s="1"/>
  <c r="AG104" i="1"/>
  <c r="AE104" i="1"/>
  <c r="AF104" i="1" s="1"/>
  <c r="W60" i="1" l="1"/>
  <c r="Y60" i="1" s="1"/>
  <c r="BC80" i="1"/>
  <c r="AQ93" i="1"/>
  <c r="CZ94" i="1"/>
  <c r="AW94" i="1"/>
  <c r="AC94" i="1"/>
  <c r="AK85" i="1"/>
  <c r="O59" i="1"/>
  <c r="G108" i="1"/>
  <c r="V124" i="1"/>
  <c r="W59" i="1"/>
  <c r="Y59" i="1" s="1"/>
  <c r="AN93" i="1"/>
  <c r="AR124" i="1"/>
  <c r="AI7" i="1"/>
  <c r="R93" i="1"/>
  <c r="BA94" i="1"/>
  <c r="O69" i="1"/>
  <c r="O70" i="1" s="1"/>
  <c r="BJ34" i="1"/>
  <c r="BE79" i="1"/>
  <c r="BG83" i="1"/>
  <c r="BG84" i="1" s="1"/>
  <c r="W65" i="1"/>
  <c r="Y65" i="1" s="1"/>
  <c r="O60" i="1"/>
  <c r="K52" i="1"/>
  <c r="O52" i="1" s="1"/>
  <c r="AK36" i="1"/>
  <c r="K70" i="1"/>
  <c r="M70" i="1" s="1"/>
  <c r="M65" i="1"/>
  <c r="BX91" i="1"/>
  <c r="BX149" i="1" s="1"/>
  <c r="CQ94" i="1"/>
  <c r="BE83" i="1"/>
  <c r="W37" i="1"/>
  <c r="Y37" i="1" s="1"/>
  <c r="BL34" i="1"/>
  <c r="AM6" i="1"/>
  <c r="W49" i="1"/>
  <c r="Y49" i="1" s="1"/>
  <c r="O37" i="1"/>
  <c r="BK34" i="1"/>
  <c r="BM34" i="1" s="1"/>
  <c r="DF94" i="1"/>
  <c r="CH91" i="1"/>
  <c r="CH149" i="1" s="1"/>
  <c r="AI124" i="1"/>
  <c r="AF99" i="1"/>
  <c r="CG99" i="1"/>
  <c r="H91" i="1"/>
  <c r="H149" i="1" s="1"/>
  <c r="BH99" i="1"/>
  <c r="W71" i="1"/>
  <c r="Y71" i="1" s="1"/>
  <c r="CF92" i="1"/>
  <c r="CF94" i="1" s="1"/>
  <c r="W63" i="1"/>
  <c r="Y63" i="1" s="1"/>
  <c r="W39" i="1"/>
  <c r="Y39" i="1" s="1"/>
  <c r="AM83" i="1"/>
  <c r="AM84" i="1" s="1"/>
  <c r="CW99" i="1"/>
  <c r="BC67" i="1"/>
  <c r="BG67" i="1" s="1"/>
  <c r="BG65" i="1"/>
  <c r="BE65" i="1"/>
  <c r="AL93" i="1"/>
  <c r="K72" i="1"/>
  <c r="G95" i="1"/>
  <c r="CH92" i="1"/>
  <c r="CH94" i="1" s="1"/>
  <c r="M63" i="1"/>
  <c r="T124" i="1"/>
  <c r="BH91" i="1"/>
  <c r="BH149" i="1" s="1"/>
  <c r="DI94" i="1"/>
  <c r="AK83" i="1"/>
  <c r="AK84" i="1" s="1"/>
  <c r="AP124" i="1"/>
  <c r="AK54" i="1"/>
  <c r="BF93" i="1"/>
  <c r="BC38" i="1"/>
  <c r="BG36" i="1"/>
  <c r="BE36" i="1"/>
  <c r="BB99" i="1"/>
  <c r="O71" i="1"/>
  <c r="S91" i="1"/>
  <c r="S149" i="1" s="1"/>
  <c r="CG92" i="1"/>
  <c r="CG94" i="1" s="1"/>
  <c r="BG6" i="1"/>
  <c r="AT93" i="1"/>
  <c r="CF123" i="1"/>
  <c r="CF126" i="1" s="1"/>
  <c r="K53" i="1"/>
  <c r="M49" i="1"/>
  <c r="K30" i="1"/>
  <c r="W29" i="1"/>
  <c r="Y29" i="1" s="1"/>
  <c r="M29" i="1"/>
  <c r="O29" i="1"/>
  <c r="BC47" i="1"/>
  <c r="BE46" i="1"/>
  <c r="J91" i="1"/>
  <c r="J149" i="1" s="1"/>
  <c r="BI95" i="1"/>
  <c r="BC123" i="1"/>
  <c r="BC126" i="1" s="1"/>
  <c r="CE99" i="1"/>
  <c r="G91" i="1"/>
  <c r="G149" i="1" s="1"/>
  <c r="BB91" i="1"/>
  <c r="BB149" i="1" s="1"/>
  <c r="AQ124" i="1"/>
  <c r="O39" i="1"/>
  <c r="AP93" i="1"/>
  <c r="CT94" i="1"/>
  <c r="CB92" i="1"/>
  <c r="BE34" i="1"/>
  <c r="BC35" i="1"/>
  <c r="BG34" i="1"/>
  <c r="K81" i="1"/>
  <c r="W79" i="1"/>
  <c r="Y79" i="1" s="1"/>
  <c r="M79" i="1"/>
  <c r="O79" i="1"/>
  <c r="AO107" i="1"/>
  <c r="AP101" i="1"/>
  <c r="AO102" i="1"/>
  <c r="BB101" i="1"/>
  <c r="BA107" i="1"/>
  <c r="BG73" i="1"/>
  <c r="BC78" i="1"/>
  <c r="BE73" i="1"/>
  <c r="BX93" i="1"/>
  <c r="BX94" i="1" s="1"/>
  <c r="CH99" i="1"/>
  <c r="S99" i="1"/>
  <c r="M52" i="1"/>
  <c r="V123" i="1"/>
  <c r="V126" i="1" s="1"/>
  <c r="V99" i="1"/>
  <c r="V95" i="1"/>
  <c r="V92" i="1"/>
  <c r="V94" i="1" s="1"/>
  <c r="V91" i="1"/>
  <c r="V149" i="1" s="1"/>
  <c r="AR65" i="1"/>
  <c r="AR91" i="1" s="1"/>
  <c r="AR149" i="1" s="1"/>
  <c r="AQ65" i="1"/>
  <c r="AS65" i="1" s="1"/>
  <c r="AT65" i="1"/>
  <c r="AT95" i="1" s="1"/>
  <c r="AP65" i="1"/>
  <c r="AP99" i="1" s="1"/>
  <c r="AM56" i="1"/>
  <c r="AK56" i="1"/>
  <c r="K124" i="1"/>
  <c r="W28" i="1"/>
  <c r="O28" i="1"/>
  <c r="M28" i="1"/>
  <c r="AG105" i="1"/>
  <c r="AH104" i="1"/>
  <c r="AG107" i="1"/>
  <c r="G107" i="1"/>
  <c r="H101" i="1"/>
  <c r="AE107" i="1"/>
  <c r="AF101" i="1"/>
  <c r="R102" i="1"/>
  <c r="Q108" i="1"/>
  <c r="O54" i="1"/>
  <c r="W54" i="1"/>
  <c r="Y54" i="1" s="1"/>
  <c r="M54" i="1"/>
  <c r="BB124" i="1"/>
  <c r="BB93" i="1"/>
  <c r="BG85" i="1"/>
  <c r="BC88" i="1"/>
  <c r="BE85" i="1"/>
  <c r="BN124" i="1"/>
  <c r="BN93" i="1"/>
  <c r="W46" i="1"/>
  <c r="Y46" i="1" s="1"/>
  <c r="O46" i="1"/>
  <c r="M46" i="1"/>
  <c r="AM29" i="1"/>
  <c r="AK29" i="1"/>
  <c r="AS124" i="1"/>
  <c r="AS93" i="1"/>
  <c r="AF124" i="1"/>
  <c r="AF93" i="1"/>
  <c r="AI27" i="1"/>
  <c r="AK27" i="1" s="1"/>
  <c r="AM25" i="1"/>
  <c r="AM27" i="1" s="1"/>
  <c r="AK25" i="1"/>
  <c r="AK8" i="1"/>
  <c r="AM8" i="1"/>
  <c r="CE91" i="1"/>
  <c r="CE149" i="1" s="1"/>
  <c r="P123" i="1"/>
  <c r="P126" i="1" s="1"/>
  <c r="P99" i="1"/>
  <c r="P95" i="1"/>
  <c r="P92" i="1"/>
  <c r="P91" i="1"/>
  <c r="P149" i="1" s="1"/>
  <c r="N124" i="1"/>
  <c r="CN94" i="1"/>
  <c r="CH123" i="1"/>
  <c r="CH126" i="1" s="1"/>
  <c r="AZ91" i="1"/>
  <c r="AZ149" i="1" s="1"/>
  <c r="AO92" i="1"/>
  <c r="AO123" i="1"/>
  <c r="AO126" i="1" s="1"/>
  <c r="AF123" i="1"/>
  <c r="AF126" i="1" s="1"/>
  <c r="BE80" i="1"/>
  <c r="BG80" i="1"/>
  <c r="AK69" i="1"/>
  <c r="AM69" i="1"/>
  <c r="AM70" i="1" s="1"/>
  <c r="AI70" i="1"/>
  <c r="AK70" i="1" s="1"/>
  <c r="AN124" i="1"/>
  <c r="R124" i="1"/>
  <c r="S95" i="1"/>
  <c r="AM7" i="1"/>
  <c r="AK7" i="1"/>
  <c r="CW91" i="1"/>
  <c r="CW149" i="1" s="1"/>
  <c r="CG91" i="1"/>
  <c r="CG149" i="1" s="1"/>
  <c r="BH92" i="1"/>
  <c r="AK62" i="1"/>
  <c r="AM62" i="1"/>
  <c r="AI61" i="1"/>
  <c r="AK60" i="1"/>
  <c r="AM60" i="1"/>
  <c r="AT124" i="1"/>
  <c r="P124" i="1"/>
  <c r="P93" i="1"/>
  <c r="BE7" i="1"/>
  <c r="BG7" i="1"/>
  <c r="CF99" i="1"/>
  <c r="BB123" i="1"/>
  <c r="BB126" i="1" s="1"/>
  <c r="BA108" i="1"/>
  <c r="BB102" i="1"/>
  <c r="W62" i="1"/>
  <c r="Y62" i="1" s="1"/>
  <c r="O62" i="1"/>
  <c r="M62" i="1"/>
  <c r="BL69" i="1"/>
  <c r="BK69" i="1"/>
  <c r="BM69" i="1" s="1"/>
  <c r="BN69" i="1"/>
  <c r="BJ69" i="1"/>
  <c r="BK124" i="1"/>
  <c r="BK93" i="1"/>
  <c r="BM59" i="1"/>
  <c r="AI52" i="1"/>
  <c r="AI53" i="1"/>
  <c r="AM49" i="1"/>
  <c r="AK49" i="1"/>
  <c r="BX95" i="1"/>
  <c r="BX115" i="1"/>
  <c r="BZ115" i="1" s="1"/>
  <c r="BZ117" i="1" s="1"/>
  <c r="BZ119" i="1" s="1"/>
  <c r="CW94" i="1"/>
  <c r="BT94" i="1"/>
  <c r="AQ123" i="1"/>
  <c r="AQ126" i="1" s="1"/>
  <c r="AS4" i="1"/>
  <c r="Q106" i="1"/>
  <c r="AY102" i="1"/>
  <c r="AZ101" i="1"/>
  <c r="AY107" i="1"/>
  <c r="AI76" i="1"/>
  <c r="AM73" i="1"/>
  <c r="AK73" i="1"/>
  <c r="AI74" i="1"/>
  <c r="AM59" i="1"/>
  <c r="AK59" i="1"/>
  <c r="M82" i="1"/>
  <c r="W82" i="1"/>
  <c r="Y82" i="1" s="1"/>
  <c r="O82" i="1"/>
  <c r="BS94" i="1"/>
  <c r="W85" i="1"/>
  <c r="Y85" i="1" s="1"/>
  <c r="M85" i="1"/>
  <c r="O85" i="1"/>
  <c r="O72" i="1"/>
  <c r="M72" i="1"/>
  <c r="W72" i="1"/>
  <c r="Y72" i="1" s="1"/>
  <c r="BL124" i="1"/>
  <c r="BL93" i="1"/>
  <c r="W34" i="1"/>
  <c r="Y34" i="1" s="1"/>
  <c r="O34" i="1"/>
  <c r="K35" i="1"/>
  <c r="M34" i="1"/>
  <c r="BH93" i="1"/>
  <c r="BG5" i="1"/>
  <c r="BE5" i="1"/>
  <c r="CE123" i="1"/>
  <c r="CE126" i="1" s="1"/>
  <c r="BF123" i="1"/>
  <c r="BF126" i="1" s="1"/>
  <c r="BF99" i="1"/>
  <c r="BF95" i="1"/>
  <c r="BF92" i="1"/>
  <c r="BF91" i="1"/>
  <c r="BF149" i="1" s="1"/>
  <c r="AG123" i="1"/>
  <c r="AG126" i="1" s="1"/>
  <c r="AG99" i="1"/>
  <c r="AG95" i="1"/>
  <c r="AG91" i="1"/>
  <c r="AG149" i="1" s="1"/>
  <c r="AG92" i="1"/>
  <c r="AG94" i="1" s="1"/>
  <c r="AL4" i="1"/>
  <c r="AN4" i="1"/>
  <c r="AI4" i="1"/>
  <c r="AH4" i="1"/>
  <c r="BI99" i="1"/>
  <c r="AZ92" i="1"/>
  <c r="AZ94" i="1" s="1"/>
  <c r="AO95" i="1"/>
  <c r="AF91" i="1"/>
  <c r="AF149" i="1" s="1"/>
  <c r="BC92" i="1"/>
  <c r="BE43" i="1"/>
  <c r="BG43" i="1"/>
  <c r="BE60" i="1"/>
  <c r="BC61" i="1"/>
  <c r="BG60" i="1"/>
  <c r="W51" i="1"/>
  <c r="Y51" i="1" s="1"/>
  <c r="O51" i="1"/>
  <c r="M51" i="1"/>
  <c r="CW123" i="1"/>
  <c r="CW126" i="1" s="1"/>
  <c r="CG123" i="1"/>
  <c r="CG126" i="1" s="1"/>
  <c r="BH123" i="1"/>
  <c r="BH126" i="1" s="1"/>
  <c r="R123" i="1"/>
  <c r="R126" i="1" s="1"/>
  <c r="R99" i="1"/>
  <c r="R92" i="1"/>
  <c r="R94" i="1" s="1"/>
  <c r="R91" i="1"/>
  <c r="R149" i="1" s="1"/>
  <c r="BM4" i="1"/>
  <c r="AI64" i="1"/>
  <c r="AK63" i="1"/>
  <c r="AM63" i="1"/>
  <c r="W41" i="1"/>
  <c r="Y41" i="1" s="1"/>
  <c r="O41" i="1"/>
  <c r="M41" i="1"/>
  <c r="W31" i="1"/>
  <c r="Y31" i="1" s="1"/>
  <c r="M31" i="1"/>
  <c r="T93" i="1"/>
  <c r="N93" i="1"/>
  <c r="CF91" i="1"/>
  <c r="CF149" i="1" s="1"/>
  <c r="BB92" i="1"/>
  <c r="CB99" i="1"/>
  <c r="AO94" i="1"/>
  <c r="S124" i="1"/>
  <c r="S93" i="1"/>
  <c r="U28" i="1"/>
  <c r="U99" i="1" s="1"/>
  <c r="K99" i="1"/>
  <c r="K92" i="1"/>
  <c r="K123" i="1"/>
  <c r="K126" i="1" s="1"/>
  <c r="W4" i="1"/>
  <c r="O4" i="1"/>
  <c r="M4" i="1"/>
  <c r="BI91" i="1"/>
  <c r="BI149" i="1" s="1"/>
  <c r="AZ99" i="1"/>
  <c r="S123" i="1"/>
  <c r="S126" i="1" s="1"/>
  <c r="BC50" i="1"/>
  <c r="BE50" i="1" s="1"/>
  <c r="BG49" i="1"/>
  <c r="BG50" i="1" s="1"/>
  <c r="BE49" i="1"/>
  <c r="BC99" i="1"/>
  <c r="AE102" i="1"/>
  <c r="BI102" i="1"/>
  <c r="BJ101" i="1"/>
  <c r="BI107" i="1"/>
  <c r="BC124" i="1"/>
  <c r="BG59" i="1"/>
  <c r="BG124" i="1" s="1"/>
  <c r="BE59" i="1"/>
  <c r="BE124" i="1" s="1"/>
  <c r="BN85" i="1"/>
  <c r="BJ85" i="1"/>
  <c r="BL85" i="1"/>
  <c r="BK85" i="1"/>
  <c r="BM85" i="1" s="1"/>
  <c r="BC70" i="1"/>
  <c r="BE70" i="1" s="1"/>
  <c r="BE69" i="1"/>
  <c r="BG69" i="1"/>
  <c r="BG70" i="1" s="1"/>
  <c r="BJ124" i="1"/>
  <c r="BJ93" i="1"/>
  <c r="CB47" i="1"/>
  <c r="BZ47" i="1"/>
  <c r="BZ93" i="1" s="1"/>
  <c r="BG29" i="1"/>
  <c r="BC33" i="1"/>
  <c r="BE29" i="1"/>
  <c r="BG25" i="1"/>
  <c r="BC26" i="1"/>
  <c r="BE25" i="1"/>
  <c r="BE8" i="1"/>
  <c r="BG8" i="1"/>
  <c r="DO94" i="1"/>
  <c r="CE92" i="1"/>
  <c r="CE94" i="1" s="1"/>
  <c r="BZ99" i="1"/>
  <c r="BZ123" i="1"/>
  <c r="BZ126" i="1" s="1"/>
  <c r="BZ92" i="1"/>
  <c r="T123" i="1"/>
  <c r="T126" i="1" s="1"/>
  <c r="T99" i="1"/>
  <c r="T95" i="1"/>
  <c r="T92" i="1"/>
  <c r="T91" i="1"/>
  <c r="T149" i="1" s="1"/>
  <c r="CN149" i="1"/>
  <c r="CN117" i="1"/>
  <c r="CN119" i="1" s="1"/>
  <c r="BI92" i="1"/>
  <c r="BI94" i="1" s="1"/>
  <c r="BI123" i="1"/>
  <c r="BI126" i="1" s="1"/>
  <c r="AO99" i="1"/>
  <c r="AF92" i="1"/>
  <c r="AK71" i="1"/>
  <c r="AI72" i="1"/>
  <c r="AK72" i="1" s="1"/>
  <c r="AM71" i="1"/>
  <c r="AM72" i="1" s="1"/>
  <c r="S92" i="1"/>
  <c r="AH124" i="1"/>
  <c r="AH93" i="1"/>
  <c r="N123" i="1"/>
  <c r="N126" i="1" s="1"/>
  <c r="N99" i="1"/>
  <c r="N95" i="1"/>
  <c r="N91" i="1"/>
  <c r="N149" i="1" s="1"/>
  <c r="N92" i="1"/>
  <c r="AK65" i="1"/>
  <c r="AI67" i="1"/>
  <c r="AM67" i="1" s="1"/>
  <c r="AM65" i="1"/>
  <c r="BE63" i="1"/>
  <c r="BC64" i="1"/>
  <c r="BG63" i="1"/>
  <c r="AL124" i="1"/>
  <c r="AK46" i="1"/>
  <c r="AM46" i="1"/>
  <c r="CB123" i="1"/>
  <c r="CB126" i="1" s="1"/>
  <c r="AT99" i="1" l="1"/>
  <c r="W70" i="1"/>
  <c r="Y70" i="1" s="1"/>
  <c r="AP123" i="1"/>
  <c r="AP126" i="1" s="1"/>
  <c r="BL92" i="1"/>
  <c r="BL94" i="1" s="1"/>
  <c r="BC91" i="1"/>
  <c r="BC149" i="1" s="1"/>
  <c r="P94" i="1"/>
  <c r="W52" i="1"/>
  <c r="Y52" i="1" s="1"/>
  <c r="K95" i="1"/>
  <c r="BZ94" i="1"/>
  <c r="AR123" i="1"/>
  <c r="AR126" i="1" s="1"/>
  <c r="BJ123" i="1"/>
  <c r="BJ126" i="1" s="1"/>
  <c r="AR95" i="1"/>
  <c r="AR92" i="1"/>
  <c r="AR94" i="1" s="1"/>
  <c r="U91" i="1"/>
  <c r="U149" i="1" s="1"/>
  <c r="AQ99" i="1"/>
  <c r="BC95" i="1"/>
  <c r="AM124" i="1"/>
  <c r="AQ91" i="1"/>
  <c r="AQ149" i="1" s="1"/>
  <c r="BN92" i="1"/>
  <c r="K93" i="1"/>
  <c r="AQ92" i="1"/>
  <c r="AQ94" i="1" s="1"/>
  <c r="AQ95" i="1"/>
  <c r="BZ91" i="1"/>
  <c r="BZ149" i="1" s="1"/>
  <c r="BL99" i="1"/>
  <c r="AT91" i="1"/>
  <c r="AT149" i="1" s="1"/>
  <c r="AT123" i="1"/>
  <c r="AT126" i="1" s="1"/>
  <c r="BE35" i="1"/>
  <c r="BG35" i="1"/>
  <c r="O53" i="1"/>
  <c r="M53" i="1"/>
  <c r="W53" i="1"/>
  <c r="Y53" i="1" s="1"/>
  <c r="G99" i="1"/>
  <c r="H99" i="1"/>
  <c r="K91" i="1"/>
  <c r="K149" i="1" s="1"/>
  <c r="BK95" i="1"/>
  <c r="BH94" i="1"/>
  <c r="BJ99" i="1"/>
  <c r="AT92" i="1"/>
  <c r="AT94" i="1" s="1"/>
  <c r="AR99" i="1"/>
  <c r="O30" i="1"/>
  <c r="O31" i="1"/>
  <c r="BG123" i="1"/>
  <c r="BG126" i="1" s="1"/>
  <c r="N94" i="1"/>
  <c r="BF94" i="1"/>
  <c r="BN91" i="1"/>
  <c r="BN149" i="1" s="1"/>
  <c r="AK124" i="1"/>
  <c r="BB94" i="1"/>
  <c r="M81" i="1"/>
  <c r="W81" i="1"/>
  <c r="Y81" i="1" s="1"/>
  <c r="O81" i="1"/>
  <c r="BE47" i="1"/>
  <c r="BG47" i="1"/>
  <c r="W30" i="1"/>
  <c r="Y30" i="1" s="1"/>
  <c r="M30" i="1"/>
  <c r="AF102" i="1"/>
  <c r="AE108" i="1"/>
  <c r="BM123" i="1"/>
  <c r="BM126" i="1" s="1"/>
  <c r="BM99" i="1"/>
  <c r="BM91" i="1"/>
  <c r="BM149" i="1" s="1"/>
  <c r="BM92" i="1"/>
  <c r="AH123" i="1"/>
  <c r="AH126" i="1" s="1"/>
  <c r="AH99" i="1"/>
  <c r="AH92" i="1"/>
  <c r="AH91" i="1"/>
  <c r="AH149" i="1" s="1"/>
  <c r="BC115" i="1"/>
  <c r="BE115" i="1" s="1"/>
  <c r="BE117" i="1" s="1"/>
  <c r="BE119" i="1" s="1"/>
  <c r="AH94" i="1"/>
  <c r="M123" i="1"/>
  <c r="M126" i="1" s="1"/>
  <c r="M99" i="1"/>
  <c r="M92" i="1"/>
  <c r="U124" i="1"/>
  <c r="U93" i="1"/>
  <c r="U95" i="1"/>
  <c r="T94" i="1"/>
  <c r="BK92" i="1"/>
  <c r="BK94" i="1" s="1"/>
  <c r="BK123" i="1"/>
  <c r="BK126" i="1" s="1"/>
  <c r="BE61" i="1"/>
  <c r="BG61" i="1"/>
  <c r="AI123" i="1"/>
  <c r="AI126" i="1" s="1"/>
  <c r="AI99" i="1"/>
  <c r="AK4" i="1"/>
  <c r="AI92" i="1"/>
  <c r="AI5" i="1"/>
  <c r="AI91" i="1" s="1"/>
  <c r="AI149" i="1" s="1"/>
  <c r="AM4" i="1"/>
  <c r="BC93" i="1"/>
  <c r="BC94" i="1" s="1"/>
  <c r="M35" i="1"/>
  <c r="W35" i="1"/>
  <c r="Y35" i="1" s="1"/>
  <c r="O35" i="1"/>
  <c r="AP91" i="1"/>
  <c r="AP149" i="1" s="1"/>
  <c r="BJ91" i="1"/>
  <c r="BJ149" i="1" s="1"/>
  <c r="BM124" i="1"/>
  <c r="BM93" i="1"/>
  <c r="U92" i="1"/>
  <c r="BN99" i="1"/>
  <c r="AF94" i="1"/>
  <c r="AH105" i="1"/>
  <c r="AG108" i="1"/>
  <c r="AP102" i="1"/>
  <c r="AO108" i="1"/>
  <c r="BG92" i="1"/>
  <c r="BG26" i="1"/>
  <c r="BE26" i="1"/>
  <c r="AM74" i="1"/>
  <c r="AK74" i="1"/>
  <c r="BG99" i="1"/>
  <c r="AM52" i="1"/>
  <c r="AK52" i="1"/>
  <c r="W124" i="1"/>
  <c r="Y28" i="1"/>
  <c r="BE64" i="1"/>
  <c r="BG64" i="1"/>
  <c r="BE99" i="1"/>
  <c r="BE92" i="1"/>
  <c r="BE123" i="1"/>
  <c r="BE126" i="1" s="1"/>
  <c r="O123" i="1"/>
  <c r="O126" i="1" s="1"/>
  <c r="O99" i="1"/>
  <c r="O92" i="1"/>
  <c r="S94" i="1"/>
  <c r="AM64" i="1"/>
  <c r="AK64" i="1"/>
  <c r="BK99" i="1"/>
  <c r="K94" i="1"/>
  <c r="AN123" i="1"/>
  <c r="AN126" i="1" s="1"/>
  <c r="AN99" i="1"/>
  <c r="AN95" i="1"/>
  <c r="AN92" i="1"/>
  <c r="AN94" i="1" s="1"/>
  <c r="AN91" i="1"/>
  <c r="AN149" i="1" s="1"/>
  <c r="AY108" i="1"/>
  <c r="AZ102" i="1"/>
  <c r="AP92" i="1"/>
  <c r="AP94" i="1" s="1"/>
  <c r="BJ92" i="1"/>
  <c r="BJ94" i="1" s="1"/>
  <c r="AM61" i="1"/>
  <c r="AK61" i="1"/>
  <c r="BN123" i="1"/>
  <c r="BN126" i="1" s="1"/>
  <c r="AM31" i="1"/>
  <c r="AM30" i="1"/>
  <c r="K115" i="1"/>
  <c r="M115" i="1" s="1"/>
  <c r="M117" i="1" s="1"/>
  <c r="M119" i="1" s="1"/>
  <c r="M124" i="1"/>
  <c r="BG33" i="1"/>
  <c r="BE33" i="1"/>
  <c r="AS123" i="1"/>
  <c r="AS126" i="1" s="1"/>
  <c r="AS99" i="1"/>
  <c r="AS95" i="1"/>
  <c r="AS91" i="1"/>
  <c r="AS149" i="1" s="1"/>
  <c r="AS92" i="1"/>
  <c r="AS94" i="1" s="1"/>
  <c r="CB91" i="1"/>
  <c r="CB149" i="1" s="1"/>
  <c r="CB93" i="1"/>
  <c r="CB94" i="1" s="1"/>
  <c r="BI108" i="1"/>
  <c r="BJ102" i="1"/>
  <c r="W99" i="1"/>
  <c r="W92" i="1"/>
  <c r="W123" i="1"/>
  <c r="W126" i="1" s="1"/>
  <c r="Y4" i="1"/>
  <c r="BK91" i="1"/>
  <c r="BK149" i="1" s="1"/>
  <c r="AL123" i="1"/>
  <c r="AL126" i="1" s="1"/>
  <c r="AL99" i="1"/>
  <c r="AL95" i="1"/>
  <c r="AL92" i="1"/>
  <c r="AL94" i="1" s="1"/>
  <c r="AL91" i="1"/>
  <c r="AL149" i="1" s="1"/>
  <c r="AM76" i="1"/>
  <c r="AK76" i="1"/>
  <c r="AM53" i="1"/>
  <c r="AK53" i="1"/>
  <c r="BL91" i="1"/>
  <c r="BL149" i="1" s="1"/>
  <c r="BL123" i="1"/>
  <c r="BL126" i="1" s="1"/>
  <c r="BL95" i="1"/>
  <c r="BN94" i="1"/>
  <c r="O124" i="1"/>
  <c r="U123" i="1"/>
  <c r="U126" i="1" s="1"/>
  <c r="O95" i="1" l="1"/>
  <c r="O91" i="1"/>
  <c r="O149" i="1" s="1"/>
  <c r="O93" i="1"/>
  <c r="O94" i="1" s="1"/>
  <c r="AI115" i="1"/>
  <c r="AK115" i="1" s="1"/>
  <c r="AK117" i="1" s="1"/>
  <c r="AK119" i="1" s="1"/>
  <c r="BM94" i="1"/>
  <c r="W93" i="1"/>
  <c r="W94" i="1" s="1"/>
  <c r="M93" i="1"/>
  <c r="M94" i="1" s="1"/>
  <c r="BG93" i="1"/>
  <c r="BG94" i="1" s="1"/>
  <c r="BE93" i="1"/>
  <c r="BE94" i="1" s="1"/>
  <c r="Y124" i="1"/>
  <c r="Y93" i="1"/>
  <c r="AK123" i="1"/>
  <c r="AK126" i="1" s="1"/>
  <c r="AK99" i="1"/>
  <c r="AK92" i="1"/>
  <c r="BG91" i="1"/>
  <c r="BG149" i="1" s="1"/>
  <c r="BE91" i="1"/>
  <c r="BE149" i="1" s="1"/>
  <c r="Y123" i="1"/>
  <c r="Y126" i="1" s="1"/>
  <c r="Y99" i="1"/>
  <c r="Y92" i="1"/>
  <c r="AM123" i="1"/>
  <c r="AM126" i="1" s="1"/>
  <c r="AM99" i="1"/>
  <c r="AM92" i="1"/>
  <c r="M91" i="1"/>
  <c r="M149" i="1" s="1"/>
  <c r="AI93" i="1"/>
  <c r="AI94" i="1" s="1"/>
  <c r="AM5" i="1"/>
  <c r="AM93" i="1" s="1"/>
  <c r="AK5" i="1"/>
  <c r="AK93" i="1" s="1"/>
  <c r="AI95" i="1"/>
  <c r="U94" i="1"/>
  <c r="AK94" i="1" l="1"/>
  <c r="AM91" i="1"/>
  <c r="AM149" i="1" s="1"/>
  <c r="AK91" i="1"/>
  <c r="AK149" i="1" s="1"/>
  <c r="AM94" i="1"/>
  <c r="AM95" i="1"/>
  <c r="Y94" i="1"/>
</calcChain>
</file>

<file path=xl/comments1.xml><?xml version="1.0" encoding="utf-8"?>
<comments xmlns="http://schemas.openxmlformats.org/spreadsheetml/2006/main">
  <authors>
    <author>Mykhalchuk Tetiana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04"/>
          </rPr>
          <t>Mykhalchuk Tetiana:</t>
        </r>
        <r>
          <rPr>
            <sz val="9"/>
            <color indexed="81"/>
            <rFont val="Tahoma"/>
            <family val="2"/>
            <charset val="204"/>
          </rPr>
          <t xml:space="preserve">
2012 - 35050</t>
        </r>
      </text>
    </comment>
    <comment ref="BS8" authorId="0">
      <text>
        <r>
          <rPr>
            <b/>
            <sz val="9"/>
            <color indexed="81"/>
            <rFont val="Tahoma"/>
            <family val="2"/>
            <charset val="204"/>
          </rPr>
          <t>Mykhalchuk Tetiana:</t>
        </r>
        <r>
          <rPr>
            <sz val="9"/>
            <color indexed="81"/>
            <rFont val="Tahoma"/>
            <family val="2"/>
            <charset val="204"/>
          </rPr>
          <t xml:space="preserve">
1,3% в Кривом Роге (229 чел из расчета области),
0,3% в Днепропетровске (19 чел из расчета города)</t>
        </r>
      </text>
    </comment>
    <comment ref="D25" authorId="0">
      <text>
        <r>
          <rPr>
            <b/>
            <sz val="9"/>
            <color indexed="81"/>
            <rFont val="Tahoma"/>
            <family val="2"/>
            <charset val="204"/>
          </rPr>
          <t>Mykhalchuk Tetiana:</t>
        </r>
        <r>
          <rPr>
            <sz val="9"/>
            <color indexed="81"/>
            <rFont val="Tahoma"/>
            <family val="2"/>
            <charset val="204"/>
          </rPr>
          <t xml:space="preserve">
2012г - 5000</t>
        </r>
      </text>
    </comment>
    <comment ref="D36" authorId="0">
      <text>
        <r>
          <rPr>
            <b/>
            <sz val="9"/>
            <color indexed="81"/>
            <rFont val="Tahoma"/>
            <family val="2"/>
            <charset val="204"/>
          </rPr>
          <t>Mykhalchuk Tetiana:</t>
        </r>
        <r>
          <rPr>
            <sz val="9"/>
            <color indexed="81"/>
            <rFont val="Tahoma"/>
            <family val="2"/>
            <charset val="204"/>
          </rPr>
          <t xml:space="preserve">
2012г - 8700</t>
        </r>
      </text>
    </comment>
  </commentList>
</comments>
</file>

<file path=xl/sharedStrings.xml><?xml version="1.0" encoding="utf-8"?>
<sst xmlns="http://schemas.openxmlformats.org/spreadsheetml/2006/main" count="429" uniqueCount="177">
  <si>
    <t>Регіон</t>
  </si>
  <si>
    <t xml:space="preserve">1А. Надання базового пакету послуг профілактики для СІН </t>
  </si>
  <si>
    <t xml:space="preserve">9А. Надання базового пакету послуг профілактики для ЧСЧ </t>
  </si>
  <si>
    <t>12А. Надання базового пакету послуг профілактики для трансгендерів (ТГ)</t>
  </si>
  <si>
    <t xml:space="preserve">4А. Надання на базі громадських центрів послуг зі зменшення шкоди підліткам, які вживають наркотики та тих, хто веде ризиковану  сексуальну поведінку. </t>
  </si>
  <si>
    <t>5А. Забезпечення роботи мобільних амбулаторій (МА)</t>
  </si>
  <si>
    <t>Факт</t>
  </si>
  <si>
    <t>НУО</t>
  </si>
  <si>
    <t>Оценочное количество 2017</t>
  </si>
  <si>
    <t xml:space="preserve">% от оценочного </t>
  </si>
  <si>
    <t>Сумма балов</t>
  </si>
  <si>
    <t>Цель</t>
  </si>
  <si>
    <t>Вартість клієнта на півріччя, грн.</t>
  </si>
  <si>
    <t>2_2019 охват</t>
  </si>
  <si>
    <t>кількість унікальних клієнтів, протестованих на  ВІЛ  протягом 2019 р.</t>
  </si>
  <si>
    <t>1_2020 охват</t>
  </si>
  <si>
    <t>2_2020 охват</t>
  </si>
  <si>
    <t>1_2020 тестирования ВИЧ</t>
  </si>
  <si>
    <t>2020 тестирования ВИЧ</t>
  </si>
  <si>
    <t>Оценочное количество, 2017</t>
  </si>
  <si>
    <t>Факт, МСМ</t>
  </si>
  <si>
    <t>Факт, РКС</t>
  </si>
  <si>
    <t>Факт, ТГ (ГР, пол), 9 мес 2018</t>
  </si>
  <si>
    <t>Оценочное кол-во (% от оценочного МСМ), 2013</t>
  </si>
  <si>
    <t xml:space="preserve">Оценочное кол-во (% от оценочного МСМ), 2015 </t>
  </si>
  <si>
    <t>Цель заявки</t>
  </si>
  <si>
    <t>Цель НПО</t>
  </si>
  <si>
    <t>Кількість візитів у МА за 1-ше півріччя 2019</t>
  </si>
  <si>
    <t>АР Крим</t>
  </si>
  <si>
    <t>Вінницька</t>
  </si>
  <si>
    <t>Громадська організація "Центр громадського здоров'я "Незалежність"</t>
  </si>
  <si>
    <t>Волинська</t>
  </si>
  <si>
    <t>Волинський обласний благодійний фонд "Шанс"</t>
  </si>
  <si>
    <t>Дніпропетровська</t>
  </si>
  <si>
    <t>Благодійний фонд «Імпульс Кам’янське»</t>
  </si>
  <si>
    <t>Громадська організація "Древо життя"</t>
  </si>
  <si>
    <t>Громадська організація "Майбутнє без СНІД"</t>
  </si>
  <si>
    <t>Дніпропетровська обласна громадська організація "Перехрестя"</t>
  </si>
  <si>
    <t>Жовтоводський міський благодійний фонд "Промінь"</t>
  </si>
  <si>
    <t>Новомосковська районна громадська організація "Центр підтримки сім'ї"</t>
  </si>
  <si>
    <t>Громадська організація "Альянс. Глобал"</t>
  </si>
  <si>
    <t>Благодійна організація «Благодійний фонд «Громадське  
здоров’я» м. Кривого Рогу</t>
  </si>
  <si>
    <t xml:space="preserve">Благодійна організація «Благодійне товариство «Всеукраїнська мережа людей , які живуть з ВІЛ/СНІД» м. Кривий Ріг» </t>
  </si>
  <si>
    <t>Благодійний фонд «Віртус»</t>
  </si>
  <si>
    <t>Донецька (підконтрольна Уряду)</t>
  </si>
  <si>
    <t>Донецький обласний благодійний фонд "Оберіг"</t>
  </si>
  <si>
    <t>Благодійна організація “Благодійний фонд «Клуб «Світанок»</t>
  </si>
  <si>
    <t>Громадська організація "Істок"</t>
  </si>
  <si>
    <t>Громадська організація «Наша допомога»</t>
  </si>
  <si>
    <t>Донецька обласна організація Товариства Червоного Хреста України</t>
  </si>
  <si>
    <t>Житомирська</t>
  </si>
  <si>
    <t>Громадська організація «Перспектива»</t>
  </si>
  <si>
    <t>Закарпатська</t>
  </si>
  <si>
    <t>Запорізька</t>
  </si>
  <si>
    <t>Благодійна організація “Благодійний фонд «Все можливо»</t>
  </si>
  <si>
    <t>Благодійна організація “Благодійний фонд «Сподівання»</t>
  </si>
  <si>
    <t>Благодійна організація "Мережа 100 відсотків життя. Запоріжжя"</t>
  </si>
  <si>
    <t>Запорізький обласний благодійний фонд "Гендер Зед"</t>
  </si>
  <si>
    <t xml:space="preserve">Івано-Франківська </t>
  </si>
  <si>
    <t>Благодійна організація благодійний Фонд «Реабілітаційний центр наркозалежних «Захід шанс»</t>
  </si>
  <si>
    <t>Київська</t>
  </si>
  <si>
    <t>Всеукраїнська благодійна організація "Конвіктус Україна"</t>
  </si>
  <si>
    <t>Громадська організація "Клуб "Еней"</t>
  </si>
  <si>
    <t>Благодійна організація "Міжнародний благодійний фонд Вертикаль"</t>
  </si>
  <si>
    <t>Кіровогрдська</t>
  </si>
  <si>
    <t>Обласний благодійний фонд "Повернення до життя"</t>
  </si>
  <si>
    <t>Кіровоградське обласне відділення Всеукраїнської благодійної організації "Всеукраїнська мережа людей, які живуть з ВІЛ/СНІД"</t>
  </si>
  <si>
    <t>Луганська  (підконтрольна Уряду)</t>
  </si>
  <si>
    <t>БО "Благодійна організація "Обрій"</t>
  </si>
  <si>
    <t>Львівська</t>
  </si>
  <si>
    <t>Благодійний фонд «Аванте»</t>
  </si>
  <si>
    <t>Благодійний фонд "Салюс"</t>
  </si>
  <si>
    <t>Миколаївська</t>
  </si>
  <si>
    <t>Громадська організація "Асоціація ЛГБТ "Ліга"</t>
  </si>
  <si>
    <t>Миколаївський місцевий благодійний фонд "Вихід"</t>
  </si>
  <si>
    <t>Миколаївський місцевий благодійний фонд "Юнітус"</t>
  </si>
  <si>
    <t>Благодійна організація “Миколаївський обласний фонд «Здорова нація»</t>
  </si>
  <si>
    <t>Одеська</t>
  </si>
  <si>
    <t>Громадська організація "Ера милосердя"</t>
  </si>
  <si>
    <t>ГО "Громадський рух "Віра. Надія. Любов"</t>
  </si>
  <si>
    <t>Одеський благодійний фонд реабілітації та соціальної адаптації громадян без визначеного місця проживання "Шлях до Дому"</t>
  </si>
  <si>
    <t>Молодіжна громадська організація Молодіжний громадський рух "Партнер"</t>
  </si>
  <si>
    <t>Полтавська</t>
  </si>
  <si>
    <t>Рівненьска</t>
  </si>
  <si>
    <t>Рівненський обласний благодійний фонд "Наше Майбутнє"</t>
  </si>
  <si>
    <t>Сумська</t>
  </si>
  <si>
    <t>Тернопільська</t>
  </si>
  <si>
    <t>Громадська організація "Джерела громадського здоров'я"</t>
  </si>
  <si>
    <t>Харківська</t>
  </si>
  <si>
    <t>Благодійна  організація «Мережа 100 відсотків життя» м. Харків»</t>
  </si>
  <si>
    <t>Благодійна організація "Харківський благодійний фонд "Благо"</t>
  </si>
  <si>
    <t>Благодійна організація «Харківський благодійний фонд «Парус»</t>
  </si>
  <si>
    <t>Херсонська</t>
  </si>
  <si>
    <t>Херсонський обласний благодійний фонд "Мангуст"</t>
  </si>
  <si>
    <t>Хмельницька</t>
  </si>
  <si>
    <t>Громадська організація "Хмельницька асоціація громадського здоров'я "Вікторія"</t>
  </si>
  <si>
    <t>Черкаська</t>
  </si>
  <si>
    <t>Благодійна організація «Від серця до серця.»</t>
  </si>
  <si>
    <t>Благодійний фонд "Інсайт"</t>
  </si>
  <si>
    <t>Благодійна організація "Благодійний фонд "Воля"</t>
  </si>
  <si>
    <t>Громадська організація "Обласна громадська організація "Інформаційно-консультативний центр захисту сім'ї та особистості "Діалог"</t>
  </si>
  <si>
    <t>Благодійна організація «Черкаське обласне відділення благодійної  організації «Всеукраїнська мережа людей, які живуть з ВІЛ/СНІД»</t>
  </si>
  <si>
    <t>Чернігівська</t>
  </si>
  <si>
    <t>Громадська організація "Центр ресоціалізації хімічно-узалежнених "Ведис"</t>
  </si>
  <si>
    <t>Чернігівська обласна громадська організація "Відродження нації "</t>
  </si>
  <si>
    <t>Чернівецька</t>
  </si>
  <si>
    <t>Чернівецький благодійний фонд "Нова сім'я"</t>
  </si>
  <si>
    <t>Київ</t>
  </si>
  <si>
    <t>Всеукраїнський благодійний фонд "Дроп Ін Центр"</t>
  </si>
  <si>
    <t>Севастополь</t>
  </si>
  <si>
    <t>Україна</t>
  </si>
  <si>
    <t>Арифм.сума</t>
  </si>
  <si>
    <t>Охоплення Альянс</t>
  </si>
  <si>
    <t>Охоплення  Державне</t>
  </si>
  <si>
    <t>2019: 125,187 PWID will be reached by the GF funding (94,491 PWID to be covered in government-controlled territory of Ukraine   + 18,954 PWID in the military conflict area in the east of Ukraine + 11,742 in Crimea). Additionally 93,360 PWID will be reached by the government in government-controlled territory of Ukraine.</t>
  </si>
  <si>
    <t>Донецька</t>
  </si>
  <si>
    <t>АТО</t>
  </si>
  <si>
    <t>Підконтрольна територія</t>
  </si>
  <si>
    <t>Луганська</t>
  </si>
  <si>
    <t>Донецька+Луганська (арифм)</t>
  </si>
  <si>
    <t>Крим+Севастополь Цілі 2018 (арифм)</t>
  </si>
  <si>
    <t>унікальна кількість</t>
  </si>
  <si>
    <t>Украина</t>
  </si>
  <si>
    <t>Різниця</t>
  </si>
  <si>
    <t>Вартість клієнта, грн.</t>
  </si>
  <si>
    <t>Івано-Франківська</t>
  </si>
  <si>
    <t>Кіровоградська</t>
  </si>
  <si>
    <t>Рівненська</t>
  </si>
  <si>
    <t>Квота на область (осіб)</t>
  </si>
  <si>
    <t xml:space="preserve">Період фінансування, місяців </t>
  </si>
  <si>
    <t>Сума фінансування за компонентом, грн.</t>
  </si>
  <si>
    <t>Всього, дол</t>
  </si>
  <si>
    <t>Всього в бюджеті</t>
  </si>
  <si>
    <t>Дифіцит/ залишок</t>
  </si>
  <si>
    <t>Всього в бюджеті (з інфл)</t>
  </si>
  <si>
    <t>Івеко</t>
  </si>
  <si>
    <t>Богдан</t>
  </si>
  <si>
    <t>2А.Кейс-менеджмент/лікування за підтримки спільнот (CITI)</t>
  </si>
  <si>
    <t>3А1.Оптимізоване виявлення випадків ВІЛ-інфекції (OCF)</t>
  </si>
  <si>
    <t xml:space="preserve">3А2.Лікування за підтримки спільнот (CITI)   в рамках компоненту 3А1 (OCF) </t>
  </si>
  <si>
    <t>Річне охоплення на  2019 рік</t>
  </si>
  <si>
    <t>Марка МА (Івеко/ Богдан)</t>
  </si>
  <si>
    <t>7А.Кейс-менеджмент/лікування за підтримки спільнот (CITI)</t>
  </si>
  <si>
    <t>8А1.Оптимізоване виявлення випадків ВІЛ-інфекції (OCF)</t>
  </si>
  <si>
    <t xml:space="preserve">8А2.Лікування за підтримки спільнот (CITI)   в рамках компоненту 3А1 (OCF) </t>
  </si>
  <si>
    <t>10А.Кейс-менеджмент/лікування за підтримки спільнот (CITI)</t>
  </si>
  <si>
    <t>11А1.Оптимізоване виявлення випадків ВІЛ-інфекції (OCF)</t>
  </si>
  <si>
    <t xml:space="preserve">11А2.Лікування за підтримки спільнот (CITI)   в рамках компоненту 3А1 (OCF) </t>
  </si>
  <si>
    <t>Річне охоплення 2019</t>
  </si>
  <si>
    <t>1А1. Профілактика передозування та забезпечення ЛВІН проекту Налоксоном</t>
  </si>
  <si>
    <t>Вартість 1 ампули, грн.</t>
  </si>
  <si>
    <t>Фінансування на 1-ше півріччя 2019, грн.</t>
  </si>
  <si>
    <t>Кількість ампул (7% від охоплення)</t>
  </si>
  <si>
    <t xml:space="preserve">сума по областям без АТО та Криму </t>
  </si>
  <si>
    <t>всього без АТО та Криму</t>
  </si>
  <si>
    <t>АТО+Крим</t>
  </si>
  <si>
    <t>всього по Україні</t>
  </si>
  <si>
    <t>Суми+Полтава+Закарпаття</t>
  </si>
  <si>
    <t>Мерседес</t>
  </si>
  <si>
    <t>Богдан Івеко</t>
  </si>
  <si>
    <t xml:space="preserve">Мерседес, Івеко </t>
  </si>
  <si>
    <t>Охоплення на 1-ше півріччя 2019</t>
  </si>
  <si>
    <t>Кількість унікальних клієнтів, протестованих на  ВІЛ  за 1-ше півріччя 2019</t>
  </si>
  <si>
    <t>6А. Надання базового пакету послуг профілактики для секс-працівників (СП)</t>
  </si>
  <si>
    <t>Фінансуваня на 1-ше півріччя 2019, грн.</t>
  </si>
  <si>
    <t>Фінансуваня на 2019 рік, грн.</t>
  </si>
  <si>
    <t>Вартість клієнта на 2019 рік, грн.</t>
  </si>
  <si>
    <t>Фінансування  на 1-ше півріччя 2019</t>
  </si>
  <si>
    <t>Всього по областям</t>
  </si>
  <si>
    <t>Всього по НУО</t>
  </si>
  <si>
    <t>Всього</t>
  </si>
  <si>
    <t>1А1. Профілактика передозування та забезпечення СІН проекту Налоксоном</t>
  </si>
  <si>
    <t>м. Київ</t>
  </si>
  <si>
    <t>26А. Супровід та підтримка доконтактної профілактики ВІЛ (ДКП/PrEP)</t>
  </si>
  <si>
    <t xml:space="preserve">Всього </t>
  </si>
  <si>
    <t>12 міс.</t>
  </si>
  <si>
    <t>6А.Надання базового пакету послуг профілактики для СП на базі вуличних та стаціонарних пунктів, аутріч-маршрутів, мобільних амбулаторій (МА)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</si>
</sst>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%"/>
    <numFmt numFmtId="165" formatCode="_-* #,##0_р_._-;\-* #,##0_р_._-;_-* &quot;-&quot;??_р_._-;_-@_-"/>
    <numFmt numFmtId="166" formatCode="_-[$$-409]* #,##0_ ;_-[$$-409]* \-#,##0\ ;_-[$$-409]* &quot;-&quot;_ ;_-@_ "/>
    <numFmt numFmtId="167" formatCode="#,##0.0"/>
    <numFmt numFmtId="168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rgb="FF7030A0"/>
      <name val="Arial"/>
      <family val="2"/>
      <charset val="204"/>
    </font>
    <font>
      <sz val="10"/>
      <color rgb="FF7030A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0"/>
      <color rgb="FF00B0F0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sz val="10"/>
      <color rgb="FF1F497D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  <xf numFmtId="0" fontId="22" fillId="0" borderId="0"/>
  </cellStyleXfs>
  <cellXfs count="328">
    <xf numFmtId="0" fontId="0" fillId="0" borderId="0" xfId="0"/>
    <xf numFmtId="9" fontId="15" fillId="0" borderId="5" xfId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9" fontId="6" fillId="0" borderId="5" xfId="1" applyFont="1" applyFill="1" applyBorder="1" applyAlignment="1">
      <alignment horizontal="center" vertical="center"/>
    </xf>
    <xf numFmtId="9" fontId="12" fillId="0" borderId="5" xfId="1" applyFont="1" applyFill="1" applyBorder="1" applyAlignment="1">
      <alignment horizontal="center" vertical="center"/>
    </xf>
    <xf numFmtId="0" fontId="12" fillId="0" borderId="5" xfId="1" applyNumberFormat="1" applyFont="1" applyFill="1" applyBorder="1" applyAlignment="1">
      <alignment horizontal="center" vertical="center"/>
    </xf>
    <xf numFmtId="3" fontId="12" fillId="0" borderId="5" xfId="1" applyNumberFormat="1" applyFont="1" applyFill="1" applyBorder="1" applyAlignment="1">
      <alignment horizontal="center" vertical="center"/>
    </xf>
    <xf numFmtId="1" fontId="12" fillId="12" borderId="5" xfId="1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3" fontId="12" fillId="12" borderId="5" xfId="0" applyNumberFormat="1" applyFont="1" applyFill="1" applyBorder="1" applyAlignment="1">
      <alignment horizontal="center" vertical="center"/>
    </xf>
    <xf numFmtId="9" fontId="12" fillId="12" borderId="5" xfId="1" applyFont="1" applyFill="1" applyBorder="1" applyAlignment="1">
      <alignment horizontal="center" vertical="center"/>
    </xf>
    <xf numFmtId="0" fontId="12" fillId="12" borderId="5" xfId="1" applyNumberFormat="1" applyFont="1" applyFill="1" applyBorder="1" applyAlignment="1">
      <alignment horizontal="center" vertical="center"/>
    </xf>
    <xf numFmtId="1" fontId="12" fillId="12" borderId="5" xfId="0" applyNumberFormat="1" applyFont="1" applyFill="1" applyBorder="1" applyAlignment="1">
      <alignment horizontal="center" vertical="center"/>
    </xf>
    <xf numFmtId="0" fontId="12" fillId="12" borderId="5" xfId="0" applyFont="1" applyFill="1" applyBorder="1" applyAlignment="1">
      <alignment horizontal="center" vertical="center"/>
    </xf>
    <xf numFmtId="4" fontId="12" fillId="12" borderId="5" xfId="0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center" vertical="center"/>
    </xf>
    <xf numFmtId="0" fontId="12" fillId="12" borderId="6" xfId="0" applyFont="1" applyFill="1" applyBorder="1" applyAlignment="1">
      <alignment horizontal="center" vertical="center"/>
    </xf>
    <xf numFmtId="0" fontId="12" fillId="12" borderId="4" xfId="0" applyFont="1" applyFill="1" applyBorder="1" applyAlignment="1">
      <alignment horizontal="left" vertical="center" wrapText="1"/>
    </xf>
    <xf numFmtId="3" fontId="12" fillId="12" borderId="5" xfId="1" applyNumberFormat="1" applyFont="1" applyFill="1" applyBorder="1" applyAlignment="1">
      <alignment horizontal="center" vertical="center"/>
    </xf>
    <xf numFmtId="3" fontId="12" fillId="12" borderId="5" xfId="0" applyNumberFormat="1" applyFont="1" applyFill="1" applyBorder="1" applyAlignment="1">
      <alignment horizontal="left" vertical="center" wrapText="1"/>
    </xf>
    <xf numFmtId="3" fontId="6" fillId="2" borderId="5" xfId="0" applyNumberFormat="1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0" fontId="12" fillId="2" borderId="5" xfId="0" applyNumberFormat="1" applyFont="1" applyFill="1" applyBorder="1" applyAlignment="1">
      <alignment horizontal="center" vertical="center"/>
    </xf>
    <xf numFmtId="1" fontId="12" fillId="2" borderId="5" xfId="0" applyNumberFormat="1" applyFont="1" applyFill="1" applyBorder="1" applyAlignment="1">
      <alignment horizontal="center" vertical="center"/>
    </xf>
    <xf numFmtId="1" fontId="12" fillId="3" borderId="5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/>
    </xf>
    <xf numFmtId="9" fontId="12" fillId="4" borderId="5" xfId="1" applyFont="1" applyFill="1" applyBorder="1" applyAlignment="1">
      <alignment horizontal="center" vertical="center"/>
    </xf>
    <xf numFmtId="3" fontId="12" fillId="4" borderId="5" xfId="0" applyNumberFormat="1" applyFont="1" applyFill="1" applyBorder="1" applyAlignment="1">
      <alignment horizontal="center" vertical="center"/>
    </xf>
    <xf numFmtId="1" fontId="12" fillId="4" borderId="5" xfId="1" applyNumberFormat="1" applyFont="1" applyFill="1" applyBorder="1" applyAlignment="1">
      <alignment horizontal="center" vertical="center"/>
    </xf>
    <xf numFmtId="1" fontId="6" fillId="5" borderId="5" xfId="0" applyNumberFormat="1" applyFont="1" applyFill="1" applyBorder="1" applyAlignment="1">
      <alignment horizontal="center" vertical="center"/>
    </xf>
    <xf numFmtId="9" fontId="12" fillId="5" borderId="5" xfId="1" applyFont="1" applyFill="1" applyBorder="1" applyAlignment="1">
      <alignment horizontal="center" vertical="center"/>
    </xf>
    <xf numFmtId="1" fontId="6" fillId="5" borderId="5" xfId="1" applyNumberFormat="1" applyFont="1" applyFill="1" applyBorder="1" applyAlignment="1">
      <alignment horizontal="center" vertical="center"/>
    </xf>
    <xf numFmtId="9" fontId="6" fillId="5" borderId="5" xfId="1" applyFont="1" applyFill="1" applyBorder="1" applyAlignment="1">
      <alignment horizontal="center" vertical="center"/>
    </xf>
    <xf numFmtId="1" fontId="16" fillId="5" borderId="5" xfId="1" applyNumberFormat="1" applyFont="1" applyFill="1" applyBorder="1" applyAlignment="1">
      <alignment horizontal="center" vertical="center"/>
    </xf>
    <xf numFmtId="0" fontId="12" fillId="6" borderId="5" xfId="1" applyNumberFormat="1" applyFont="1" applyFill="1" applyBorder="1" applyAlignment="1">
      <alignment horizontal="center" vertical="center"/>
    </xf>
    <xf numFmtId="0" fontId="6" fillId="6" borderId="5" xfId="1" applyNumberFormat="1" applyFont="1" applyFill="1" applyBorder="1" applyAlignment="1">
      <alignment horizontal="center" vertical="center"/>
    </xf>
    <xf numFmtId="3" fontId="6" fillId="8" borderId="5" xfId="0" applyNumberFormat="1" applyFont="1" applyFill="1" applyBorder="1" applyAlignment="1">
      <alignment horizontal="center" vertical="center"/>
    </xf>
    <xf numFmtId="3" fontId="12" fillId="8" borderId="5" xfId="0" applyNumberFormat="1" applyFont="1" applyFill="1" applyBorder="1" applyAlignment="1">
      <alignment horizontal="center" vertical="center"/>
    </xf>
    <xf numFmtId="1" fontId="12" fillId="8" borderId="5" xfId="0" applyNumberFormat="1" applyFont="1" applyFill="1" applyBorder="1" applyAlignment="1">
      <alignment horizontal="center" vertical="center"/>
    </xf>
    <xf numFmtId="9" fontId="12" fillId="8" borderId="5" xfId="1" applyFont="1" applyFill="1" applyBorder="1" applyAlignment="1">
      <alignment horizontal="center" vertical="center"/>
    </xf>
    <xf numFmtId="0" fontId="12" fillId="8" borderId="5" xfId="0" applyNumberFormat="1" applyFont="1" applyFill="1" applyBorder="1" applyAlignment="1">
      <alignment horizontal="center" vertical="center"/>
    </xf>
    <xf numFmtId="9" fontId="12" fillId="3" borderId="5" xfId="1" applyFont="1" applyFill="1" applyBorder="1" applyAlignment="1">
      <alignment horizontal="center" vertical="center"/>
    </xf>
    <xf numFmtId="0" fontId="12" fillId="9" borderId="5" xfId="0" applyNumberFormat="1" applyFont="1" applyFill="1" applyBorder="1" applyAlignment="1">
      <alignment horizontal="center" vertical="center"/>
    </xf>
    <xf numFmtId="9" fontId="12" fillId="8" borderId="5" xfId="1" applyNumberFormat="1" applyFont="1" applyFill="1" applyBorder="1" applyAlignment="1">
      <alignment horizontal="center" vertical="center"/>
    </xf>
    <xf numFmtId="3" fontId="12" fillId="9" borderId="5" xfId="0" applyNumberFormat="1" applyFont="1" applyFill="1" applyBorder="1" applyAlignment="1">
      <alignment horizontal="center" vertical="center"/>
    </xf>
    <xf numFmtId="1" fontId="6" fillId="8" borderId="5" xfId="0" applyNumberFormat="1" applyFont="1" applyFill="1" applyBorder="1" applyAlignment="1">
      <alignment horizontal="center" vertical="center"/>
    </xf>
    <xf numFmtId="9" fontId="6" fillId="2" borderId="5" xfId="1" applyFont="1" applyFill="1" applyBorder="1" applyAlignment="1">
      <alignment horizontal="center" vertical="center"/>
    </xf>
    <xf numFmtId="3" fontId="6" fillId="2" borderId="5" xfId="1" applyNumberFormat="1" applyFont="1" applyFill="1" applyBorder="1" applyAlignment="1">
      <alignment horizontal="center" vertical="center"/>
    </xf>
    <xf numFmtId="3" fontId="6" fillId="3" borderId="5" xfId="1" applyNumberFormat="1" applyFont="1" applyFill="1" applyBorder="1" applyAlignment="1">
      <alignment horizontal="center" vertical="center"/>
    </xf>
    <xf numFmtId="9" fontId="6" fillId="4" borderId="5" xfId="1" applyFont="1" applyFill="1" applyBorder="1" applyAlignment="1">
      <alignment horizontal="center" vertical="center"/>
    </xf>
    <xf numFmtId="1" fontId="6" fillId="4" borderId="5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 wrapText="1"/>
    </xf>
    <xf numFmtId="9" fontId="14" fillId="0" borderId="5" xfId="1" applyFont="1" applyFill="1" applyBorder="1" applyAlignment="1">
      <alignment horizontal="center" vertical="center"/>
    </xf>
    <xf numFmtId="4" fontId="12" fillId="0" borderId="5" xfId="1" applyNumberFormat="1" applyFont="1" applyFill="1" applyBorder="1" applyAlignment="1">
      <alignment horizontal="center" vertical="center"/>
    </xf>
    <xf numFmtId="1" fontId="12" fillId="3" borderId="5" xfId="1" applyNumberFormat="1" applyFont="1" applyFill="1" applyBorder="1" applyAlignment="1">
      <alignment horizontal="center" vertical="center"/>
    </xf>
    <xf numFmtId="0" fontId="6" fillId="3" borderId="5" xfId="1" applyNumberFormat="1" applyFont="1" applyFill="1" applyBorder="1" applyAlignment="1">
      <alignment horizontal="center" vertical="center"/>
    </xf>
    <xf numFmtId="3" fontId="12" fillId="3" borderId="5" xfId="0" applyNumberFormat="1" applyFont="1" applyFill="1" applyBorder="1" applyAlignment="1">
      <alignment horizontal="center" vertical="center"/>
    </xf>
    <xf numFmtId="1" fontId="6" fillId="3" borderId="5" xfId="0" applyNumberFormat="1" applyFont="1" applyFill="1" applyBorder="1" applyAlignment="1">
      <alignment horizontal="center" vertical="center"/>
    </xf>
    <xf numFmtId="9" fontId="6" fillId="8" borderId="5" xfId="1" applyFont="1" applyFill="1" applyBorder="1" applyAlignment="1">
      <alignment horizontal="center" vertical="center"/>
    </xf>
    <xf numFmtId="3" fontId="6" fillId="8" borderId="5" xfId="1" applyNumberFormat="1" applyFont="1" applyFill="1" applyBorder="1" applyAlignment="1">
      <alignment horizontal="center" vertical="center"/>
    </xf>
    <xf numFmtId="3" fontId="16" fillId="8" borderId="5" xfId="1" applyNumberFormat="1" applyFont="1" applyFill="1" applyBorder="1" applyAlignment="1">
      <alignment horizontal="center" vertical="center"/>
    </xf>
    <xf numFmtId="3" fontId="16" fillId="3" borderId="5" xfId="1" applyNumberFormat="1" applyFont="1" applyFill="1" applyBorder="1" applyAlignment="1">
      <alignment horizontal="center" vertical="center"/>
    </xf>
    <xf numFmtId="3" fontId="14" fillId="2" borderId="5" xfId="0" applyNumberFormat="1" applyFont="1" applyFill="1" applyBorder="1" applyAlignment="1">
      <alignment horizontal="center" vertical="center"/>
    </xf>
    <xf numFmtId="9" fontId="14" fillId="2" borderId="5" xfId="1" applyFont="1" applyFill="1" applyBorder="1" applyAlignment="1">
      <alignment horizontal="center" vertical="center"/>
    </xf>
    <xf numFmtId="3" fontId="14" fillId="2" borderId="5" xfId="1" applyNumberFormat="1" applyFont="1" applyFill="1" applyBorder="1" applyAlignment="1">
      <alignment horizontal="center" vertical="center"/>
    </xf>
    <xf numFmtId="9" fontId="14" fillId="3" borderId="5" xfId="1" applyFont="1" applyFill="1" applyBorder="1" applyAlignment="1">
      <alignment horizontal="center" vertical="center"/>
    </xf>
    <xf numFmtId="9" fontId="14" fillId="2" borderId="5" xfId="1" applyNumberFormat="1" applyFont="1" applyFill="1" applyBorder="1" applyAlignment="1">
      <alignment horizontal="center" vertical="center"/>
    </xf>
    <xf numFmtId="3" fontId="14" fillId="4" borderId="5" xfId="0" applyNumberFormat="1" applyFont="1" applyFill="1" applyBorder="1" applyAlignment="1">
      <alignment horizontal="center" vertical="center"/>
    </xf>
    <xf numFmtId="9" fontId="14" fillId="4" borderId="5" xfId="1" applyFont="1" applyFill="1" applyBorder="1" applyAlignment="1">
      <alignment horizontal="center" vertical="center"/>
    </xf>
    <xf numFmtId="0" fontId="14" fillId="4" borderId="5" xfId="1" applyNumberFormat="1" applyFont="1" applyFill="1" applyBorder="1" applyAlignment="1">
      <alignment horizontal="center" vertical="center"/>
    </xf>
    <xf numFmtId="1" fontId="14" fillId="5" borderId="5" xfId="0" applyNumberFormat="1" applyFont="1" applyFill="1" applyBorder="1" applyAlignment="1">
      <alignment horizontal="center" vertical="center"/>
    </xf>
    <xf numFmtId="9" fontId="14" fillId="5" borderId="5" xfId="1" applyFont="1" applyFill="1" applyBorder="1" applyAlignment="1">
      <alignment horizontal="center" vertical="center"/>
    </xf>
    <xf numFmtId="0" fontId="14" fillId="5" borderId="5" xfId="1" applyNumberFormat="1" applyFont="1" applyFill="1" applyBorder="1" applyAlignment="1">
      <alignment horizontal="center" vertical="center"/>
    </xf>
    <xf numFmtId="3" fontId="19" fillId="2" borderId="5" xfId="0" applyNumberFormat="1" applyFont="1" applyFill="1" applyBorder="1" applyAlignment="1">
      <alignment horizontal="center" vertical="center"/>
    </xf>
    <xf numFmtId="9" fontId="19" fillId="2" borderId="5" xfId="1" applyFont="1" applyFill="1" applyBorder="1" applyAlignment="1">
      <alignment horizontal="center" vertical="center"/>
    </xf>
    <xf numFmtId="9" fontId="12" fillId="2" borderId="5" xfId="1" applyFont="1" applyFill="1" applyBorder="1" applyAlignment="1">
      <alignment horizontal="center" vertical="center"/>
    </xf>
    <xf numFmtId="3" fontId="12" fillId="2" borderId="5" xfId="1" applyNumberFormat="1" applyFont="1" applyFill="1" applyBorder="1" applyAlignment="1">
      <alignment horizontal="center" vertical="center"/>
    </xf>
    <xf numFmtId="43" fontId="19" fillId="2" borderId="5" xfId="1" applyNumberFormat="1" applyFont="1" applyFill="1" applyBorder="1" applyAlignment="1">
      <alignment horizontal="center" vertical="center"/>
    </xf>
    <xf numFmtId="9" fontId="19" fillId="3" borderId="5" xfId="1" applyFont="1" applyFill="1" applyBorder="1" applyAlignment="1">
      <alignment horizontal="center" vertical="center"/>
    </xf>
    <xf numFmtId="9" fontId="19" fillId="2" borderId="5" xfId="1" applyNumberFormat="1" applyFont="1" applyFill="1" applyBorder="1" applyAlignment="1">
      <alignment horizontal="center" vertical="center"/>
    </xf>
    <xf numFmtId="3" fontId="19" fillId="4" borderId="5" xfId="0" applyNumberFormat="1" applyFont="1" applyFill="1" applyBorder="1" applyAlignment="1">
      <alignment horizontal="center" vertical="center"/>
    </xf>
    <xf numFmtId="9" fontId="19" fillId="4" borderId="5" xfId="1" applyFont="1" applyFill="1" applyBorder="1" applyAlignment="1">
      <alignment horizontal="center" vertical="center"/>
    </xf>
    <xf numFmtId="1" fontId="12" fillId="5" borderId="5" xfId="0" applyNumberFormat="1" applyFont="1" applyFill="1" applyBorder="1" applyAlignment="1">
      <alignment horizontal="center" vertical="center"/>
    </xf>
    <xf numFmtId="1" fontId="19" fillId="5" borderId="5" xfId="0" applyNumberFormat="1" applyFont="1" applyFill="1" applyBorder="1" applyAlignment="1">
      <alignment horizontal="center" vertical="center"/>
    </xf>
    <xf numFmtId="9" fontId="19" fillId="5" borderId="5" xfId="1" applyFont="1" applyFill="1" applyBorder="1" applyAlignment="1">
      <alignment horizontal="center" vertical="center"/>
    </xf>
    <xf numFmtId="0" fontId="12" fillId="5" borderId="5" xfId="1" applyNumberFormat="1" applyFont="1" applyFill="1" applyBorder="1" applyAlignment="1">
      <alignment horizontal="center" vertical="center"/>
    </xf>
    <xf numFmtId="1" fontId="12" fillId="5" borderId="5" xfId="1" applyNumberFormat="1" applyFont="1" applyFill="1" applyBorder="1" applyAlignment="1">
      <alignment horizontal="center" vertical="center"/>
    </xf>
    <xf numFmtId="1" fontId="14" fillId="4" borderId="5" xfId="1" applyNumberFormat="1" applyFont="1" applyFill="1" applyBorder="1" applyAlignment="1">
      <alignment horizontal="center" vertical="center"/>
    </xf>
    <xf numFmtId="0" fontId="6" fillId="5" borderId="5" xfId="1" applyNumberFormat="1" applyFont="1" applyFill="1" applyBorder="1" applyAlignment="1">
      <alignment horizontal="center" vertical="center"/>
    </xf>
    <xf numFmtId="9" fontId="6" fillId="3" borderId="5" xfId="1" applyFont="1" applyFill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/>
    </xf>
    <xf numFmtId="9" fontId="15" fillId="2" borderId="5" xfId="1" applyFont="1" applyFill="1" applyBorder="1" applyAlignment="1">
      <alignment horizontal="center" vertical="center"/>
    </xf>
    <xf numFmtId="1" fontId="15" fillId="2" borderId="5" xfId="1" applyNumberFormat="1" applyFont="1" applyFill="1" applyBorder="1" applyAlignment="1">
      <alignment horizontal="center" vertical="center"/>
    </xf>
    <xf numFmtId="165" fontId="15" fillId="2" borderId="5" xfId="1" applyNumberFormat="1" applyFont="1" applyFill="1" applyBorder="1" applyAlignment="1">
      <alignment horizontal="center" vertical="center"/>
    </xf>
    <xf numFmtId="9" fontId="15" fillId="3" borderId="5" xfId="1" applyFont="1" applyFill="1" applyBorder="1" applyAlignment="1">
      <alignment horizontal="center" vertical="center"/>
    </xf>
    <xf numFmtId="9" fontId="15" fillId="2" borderId="5" xfId="1" applyNumberFormat="1" applyFont="1" applyFill="1" applyBorder="1" applyAlignment="1">
      <alignment horizontal="center" vertical="center"/>
    </xf>
    <xf numFmtId="3" fontId="15" fillId="4" borderId="5" xfId="0" applyNumberFormat="1" applyFont="1" applyFill="1" applyBorder="1" applyAlignment="1">
      <alignment horizontal="center" vertical="center"/>
    </xf>
    <xf numFmtId="9" fontId="15" fillId="4" borderId="5" xfId="1" applyFont="1" applyFill="1" applyBorder="1" applyAlignment="1">
      <alignment horizontal="center" vertical="center"/>
    </xf>
    <xf numFmtId="1" fontId="15" fillId="4" borderId="5" xfId="1" applyNumberFormat="1" applyFont="1" applyFill="1" applyBorder="1" applyAlignment="1">
      <alignment horizontal="center" vertical="center"/>
    </xf>
    <xf numFmtId="1" fontId="15" fillId="5" borderId="5" xfId="0" applyNumberFormat="1" applyFont="1" applyFill="1" applyBorder="1" applyAlignment="1">
      <alignment horizontal="center" vertical="center"/>
    </xf>
    <xf numFmtId="9" fontId="15" fillId="5" borderId="5" xfId="1" applyFont="1" applyFill="1" applyBorder="1" applyAlignment="1">
      <alignment horizontal="center" vertical="center"/>
    </xf>
    <xf numFmtId="1" fontId="15" fillId="5" borderId="5" xfId="1" applyNumberFormat="1" applyFont="1" applyFill="1" applyBorder="1" applyAlignment="1">
      <alignment horizontal="center" vertical="center"/>
    </xf>
    <xf numFmtId="1" fontId="15" fillId="3" borderId="5" xfId="1" applyNumberFormat="1" applyFont="1" applyFill="1" applyBorder="1" applyAlignment="1">
      <alignment horizontal="center" vertical="center"/>
    </xf>
    <xf numFmtId="1" fontId="6" fillId="2" borderId="5" xfId="1" applyNumberFormat="1" applyFont="1" applyFill="1" applyBorder="1" applyAlignment="1">
      <alignment horizontal="center" vertical="center"/>
    </xf>
    <xf numFmtId="165" fontId="6" fillId="2" borderId="5" xfId="1" applyNumberFormat="1" applyFont="1" applyFill="1" applyBorder="1" applyAlignment="1">
      <alignment horizontal="center" vertical="center"/>
    </xf>
    <xf numFmtId="9" fontId="6" fillId="2" borderId="5" xfId="1" applyNumberFormat="1" applyFont="1" applyFill="1" applyBorder="1" applyAlignment="1">
      <alignment horizontal="center" vertical="center"/>
    </xf>
    <xf numFmtId="0" fontId="12" fillId="2" borderId="5" xfId="1" applyNumberFormat="1" applyFont="1" applyFill="1" applyBorder="1" applyAlignment="1">
      <alignment horizontal="center" vertical="center"/>
    </xf>
    <xf numFmtId="9" fontId="12" fillId="2" borderId="5" xfId="1" applyNumberFormat="1" applyFont="1" applyFill="1" applyBorder="1" applyAlignment="1">
      <alignment horizontal="center" vertical="center"/>
    </xf>
    <xf numFmtId="0" fontId="6" fillId="4" borderId="5" xfId="1" applyNumberFormat="1" applyFont="1" applyFill="1" applyBorder="1" applyAlignment="1">
      <alignment horizontal="center" vertical="center"/>
    </xf>
    <xf numFmtId="3" fontId="12" fillId="0" borderId="12" xfId="1" applyNumberFormat="1" applyFont="1" applyFill="1" applyBorder="1" applyAlignment="1">
      <alignment horizontal="center" vertical="center"/>
    </xf>
    <xf numFmtId="4" fontId="12" fillId="0" borderId="12" xfId="1" applyNumberFormat="1" applyFont="1" applyFill="1" applyBorder="1" applyAlignment="1">
      <alignment horizontal="center" vertical="center"/>
    </xf>
    <xf numFmtId="3" fontId="6" fillId="11" borderId="5" xfId="0" applyNumberFormat="1" applyFont="1" applyFill="1" applyBorder="1" applyAlignment="1">
      <alignment horizontal="center" vertical="center"/>
    </xf>
    <xf numFmtId="9" fontId="6" fillId="11" borderId="5" xfId="1" applyFont="1" applyFill="1" applyBorder="1" applyAlignment="1">
      <alignment horizontal="center" vertical="center"/>
    </xf>
    <xf numFmtId="0" fontId="6" fillId="11" borderId="5" xfId="1" applyNumberFormat="1" applyFont="1" applyFill="1" applyBorder="1" applyAlignment="1">
      <alignment horizontal="center" vertical="center"/>
    </xf>
    <xf numFmtId="1" fontId="6" fillId="11" borderId="5" xfId="1" applyNumberFormat="1" applyFont="1" applyFill="1" applyBorder="1" applyAlignment="1">
      <alignment horizontal="center" vertical="center"/>
    </xf>
    <xf numFmtId="9" fontId="6" fillId="11" borderId="5" xfId="1" applyNumberFormat="1" applyFont="1" applyFill="1" applyBorder="1" applyAlignment="1">
      <alignment horizontal="center" vertical="center"/>
    </xf>
    <xf numFmtId="3" fontId="6" fillId="11" borderId="5" xfId="1" applyNumberFormat="1" applyFont="1" applyFill="1" applyBorder="1" applyAlignment="1">
      <alignment horizontal="center" vertical="center"/>
    </xf>
    <xf numFmtId="1" fontId="6" fillId="11" borderId="5" xfId="0" applyNumberFormat="1" applyFont="1" applyFill="1" applyBorder="1" applyAlignment="1">
      <alignment horizontal="center" vertical="center"/>
    </xf>
    <xf numFmtId="4" fontId="6" fillId="11" borderId="5" xfId="1" applyNumberFormat="1" applyFont="1" applyFill="1" applyBorder="1" applyAlignment="1">
      <alignment horizontal="center" vertical="center"/>
    </xf>
    <xf numFmtId="3" fontId="6" fillId="10" borderId="5" xfId="0" applyNumberFormat="1" applyFont="1" applyFill="1" applyBorder="1" applyAlignment="1">
      <alignment horizontal="center" vertical="center" wrapText="1"/>
    </xf>
    <xf numFmtId="0" fontId="6" fillId="10" borderId="5" xfId="1" applyNumberFormat="1" applyFont="1" applyFill="1" applyBorder="1" applyAlignment="1">
      <alignment horizontal="center" vertical="center"/>
    </xf>
    <xf numFmtId="0" fontId="6" fillId="10" borderId="5" xfId="0" applyNumberFormat="1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8" borderId="5" xfId="0" applyNumberFormat="1" applyFont="1" applyFill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4" fillId="2" borderId="5" xfId="0" applyNumberFormat="1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3" fontId="15" fillId="2" borderId="5" xfId="0" applyNumberFormat="1" applyFont="1" applyFill="1" applyBorder="1" applyAlignment="1">
      <alignment horizontal="center" vertical="center" wrapText="1"/>
    </xf>
    <xf numFmtId="0" fontId="10" fillId="13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1" fillId="13" borderId="5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3" fontId="6" fillId="10" borderId="5" xfId="0" applyNumberFormat="1" applyFont="1" applyFill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/>
    </xf>
    <xf numFmtId="0" fontId="6" fillId="11" borderId="5" xfId="0" applyFont="1" applyFill="1" applyBorder="1" applyAlignment="1">
      <alignment horizontal="center" vertical="center"/>
    </xf>
    <xf numFmtId="2" fontId="6" fillId="11" borderId="5" xfId="0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11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6" fillId="11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9" fontId="12" fillId="8" borderId="5" xfId="0" applyNumberFormat="1" applyFont="1" applyFill="1" applyBorder="1" applyAlignment="1">
      <alignment horizontal="center" vertical="center"/>
    </xf>
    <xf numFmtId="3" fontId="11" fillId="8" borderId="5" xfId="0" applyNumberFormat="1" applyFont="1" applyFill="1" applyBorder="1" applyAlignment="1">
      <alignment horizontal="center" vertical="center"/>
    </xf>
    <xf numFmtId="3" fontId="11" fillId="3" borderId="5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13" borderId="5" xfId="0" applyFont="1" applyFill="1" applyBorder="1" applyAlignment="1">
      <alignment horizontal="center" vertical="center"/>
    </xf>
    <xf numFmtId="3" fontId="10" fillId="13" borderId="5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3" borderId="5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2" fontId="10" fillId="7" borderId="5" xfId="0" applyNumberFormat="1" applyFont="1" applyFill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165" fontId="10" fillId="3" borderId="5" xfId="0" applyNumberFormat="1" applyFont="1" applyFill="1" applyBorder="1" applyAlignment="1">
      <alignment horizontal="center" vertical="center"/>
    </xf>
    <xf numFmtId="0" fontId="10" fillId="13" borderId="4" xfId="0" applyFont="1" applyFill="1" applyBorder="1" applyAlignment="1">
      <alignment horizontal="center" vertical="center"/>
    </xf>
    <xf numFmtId="165" fontId="10" fillId="13" borderId="5" xfId="0" applyNumberFormat="1" applyFont="1" applyFill="1" applyBorder="1" applyAlignment="1">
      <alignment horizontal="center" vertical="center"/>
    </xf>
    <xf numFmtId="166" fontId="11" fillId="13" borderId="5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center" vertical="center"/>
    </xf>
    <xf numFmtId="1" fontId="10" fillId="13" borderId="5" xfId="0" applyNumberFormat="1" applyFont="1" applyFill="1" applyBorder="1" applyAlignment="1">
      <alignment horizontal="center" vertical="center"/>
    </xf>
    <xf numFmtId="3" fontId="12" fillId="9" borderId="5" xfId="1" applyNumberFormat="1" applyFont="1" applyFill="1" applyBorder="1" applyAlignment="1">
      <alignment horizontal="center" vertical="center"/>
    </xf>
    <xf numFmtId="4" fontId="6" fillId="11" borderId="5" xfId="0" applyNumberFormat="1" applyFont="1" applyFill="1" applyBorder="1" applyAlignment="1">
      <alignment horizontal="center" vertical="center"/>
    </xf>
    <xf numFmtId="0" fontId="6" fillId="11" borderId="5" xfId="0" applyFont="1" applyFill="1" applyBorder="1" applyAlignment="1">
      <alignment horizontal="center" vertical="center" wrapText="1"/>
    </xf>
    <xf numFmtId="4" fontId="12" fillId="12" borderId="5" xfId="1" applyNumberFormat="1" applyFont="1" applyFill="1" applyBorder="1" applyAlignment="1">
      <alignment horizontal="center" vertical="center"/>
    </xf>
    <xf numFmtId="9" fontId="12" fillId="12" borderId="5" xfId="1" applyNumberFormat="1" applyFont="1" applyFill="1" applyBorder="1" applyAlignment="1">
      <alignment horizontal="center" vertical="center"/>
    </xf>
    <xf numFmtId="2" fontId="12" fillId="12" borderId="5" xfId="0" applyNumberFormat="1" applyFont="1" applyFill="1" applyBorder="1" applyAlignment="1">
      <alignment horizontal="center" vertical="center"/>
    </xf>
    <xf numFmtId="167" fontId="12" fillId="12" borderId="5" xfId="0" applyNumberFormat="1" applyFont="1" applyFill="1" applyBorder="1" applyAlignment="1">
      <alignment horizontal="center" vertical="center"/>
    </xf>
    <xf numFmtId="164" fontId="12" fillId="12" borderId="5" xfId="1" applyNumberFormat="1" applyFont="1" applyFill="1" applyBorder="1" applyAlignment="1">
      <alignment horizontal="center" vertical="center"/>
    </xf>
    <xf numFmtId="0" fontId="12" fillId="12" borderId="5" xfId="0" applyNumberFormat="1" applyFont="1" applyFill="1" applyBorder="1" applyAlignment="1">
      <alignment horizontal="center" vertical="center"/>
    </xf>
    <xf numFmtId="0" fontId="11" fillId="10" borderId="14" xfId="0" applyFont="1" applyFill="1" applyBorder="1" applyAlignment="1">
      <alignment horizontal="center" vertical="center" wrapText="1"/>
    </xf>
    <xf numFmtId="0" fontId="11" fillId="10" borderId="15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1" fillId="11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3" fontId="12" fillId="0" borderId="12" xfId="0" applyNumberFormat="1" applyFont="1" applyFill="1" applyBorder="1" applyAlignment="1">
      <alignment horizontal="center" vertical="center"/>
    </xf>
    <xf numFmtId="3" fontId="12" fillId="0" borderId="12" xfId="0" applyNumberFormat="1" applyFont="1" applyFill="1" applyBorder="1" applyAlignment="1">
      <alignment horizontal="center" vertical="center" wrapText="1"/>
    </xf>
    <xf numFmtId="9" fontId="12" fillId="0" borderId="12" xfId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/>
    </xf>
    <xf numFmtId="3" fontId="12" fillId="12" borderId="9" xfId="0" applyNumberFormat="1" applyFont="1" applyFill="1" applyBorder="1" applyAlignment="1">
      <alignment horizontal="center" vertical="center"/>
    </xf>
    <xf numFmtId="9" fontId="12" fillId="12" borderId="9" xfId="1" applyFont="1" applyFill="1" applyBorder="1" applyAlignment="1">
      <alignment horizontal="center" vertical="center"/>
    </xf>
    <xf numFmtId="0" fontId="12" fillId="12" borderId="9" xfId="1" applyNumberFormat="1" applyFont="1" applyFill="1" applyBorder="1" applyAlignment="1">
      <alignment horizontal="center" vertical="center"/>
    </xf>
    <xf numFmtId="1" fontId="12" fillId="12" borderId="9" xfId="1" applyNumberFormat="1" applyFont="1" applyFill="1" applyBorder="1" applyAlignment="1">
      <alignment horizontal="center" vertical="center"/>
    </xf>
    <xf numFmtId="4" fontId="12" fillId="12" borderId="9" xfId="1" applyNumberFormat="1" applyFont="1" applyFill="1" applyBorder="1" applyAlignment="1">
      <alignment horizontal="center" vertical="center"/>
    </xf>
    <xf numFmtId="9" fontId="12" fillId="12" borderId="9" xfId="1" applyNumberFormat="1" applyFont="1" applyFill="1" applyBorder="1" applyAlignment="1">
      <alignment horizontal="center" vertical="center"/>
    </xf>
    <xf numFmtId="3" fontId="12" fillId="12" borderId="9" xfId="1" applyNumberFormat="1" applyFont="1" applyFill="1" applyBorder="1" applyAlignment="1">
      <alignment horizontal="center" vertical="center"/>
    </xf>
    <xf numFmtId="1" fontId="12" fillId="12" borderId="9" xfId="0" applyNumberFormat="1" applyFont="1" applyFill="1" applyBorder="1" applyAlignment="1">
      <alignment horizontal="center" vertical="center"/>
    </xf>
    <xf numFmtId="0" fontId="12" fillId="12" borderId="9" xfId="0" applyFont="1" applyFill="1" applyBorder="1" applyAlignment="1">
      <alignment horizontal="center" vertical="center"/>
    </xf>
    <xf numFmtId="4" fontId="12" fillId="12" borderId="9" xfId="0" applyNumberFormat="1" applyFont="1" applyFill="1" applyBorder="1" applyAlignment="1">
      <alignment horizontal="center" vertical="center"/>
    </xf>
    <xf numFmtId="2" fontId="12" fillId="12" borderId="9" xfId="0" applyNumberFormat="1" applyFont="1" applyFill="1" applyBorder="1" applyAlignment="1">
      <alignment horizontal="center" vertical="center"/>
    </xf>
    <xf numFmtId="0" fontId="12" fillId="12" borderId="10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left" vertical="center" wrapText="1"/>
    </xf>
    <xf numFmtId="0" fontId="12" fillId="12" borderId="8" xfId="0" applyFont="1" applyFill="1" applyBorder="1" applyAlignment="1">
      <alignment horizontal="left" vertical="center" wrapText="1"/>
    </xf>
    <xf numFmtId="3" fontId="6" fillId="11" borderId="5" xfId="0" applyNumberFormat="1" applyFont="1" applyFill="1" applyBorder="1" applyAlignment="1">
      <alignment horizontal="left" vertical="center" wrapText="1"/>
    </xf>
    <xf numFmtId="3" fontId="12" fillId="12" borderId="9" xfId="0" applyNumberFormat="1" applyFont="1" applyFill="1" applyBorder="1" applyAlignment="1">
      <alignment horizontal="left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2" fontId="6" fillId="0" borderId="5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" fontId="12" fillId="0" borderId="5" xfId="1" applyNumberFormat="1" applyFont="1" applyFill="1" applyBorder="1" applyAlignment="1">
      <alignment horizontal="center" vertical="center"/>
    </xf>
    <xf numFmtId="2" fontId="12" fillId="0" borderId="5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 wrapText="1"/>
    </xf>
    <xf numFmtId="2" fontId="6" fillId="0" borderId="5" xfId="1" applyNumberFormat="1" applyFont="1" applyFill="1" applyBorder="1" applyAlignment="1">
      <alignment horizontal="center" vertical="center"/>
    </xf>
    <xf numFmtId="2" fontId="6" fillId="0" borderId="9" xfId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center" vertical="center"/>
    </xf>
    <xf numFmtId="2" fontId="6" fillId="10" borderId="5" xfId="0" applyNumberFormat="1" applyFont="1" applyFill="1" applyBorder="1" applyAlignment="1">
      <alignment horizontal="center" vertical="center" wrapText="1"/>
    </xf>
    <xf numFmtId="2" fontId="6" fillId="11" borderId="5" xfId="1" applyNumberFormat="1" applyFont="1" applyFill="1" applyBorder="1" applyAlignment="1">
      <alignment horizontal="center" vertical="center"/>
    </xf>
    <xf numFmtId="2" fontId="12" fillId="12" borderId="5" xfId="1" applyNumberFormat="1" applyFont="1" applyFill="1" applyBorder="1" applyAlignment="1">
      <alignment horizontal="center" vertical="center"/>
    </xf>
    <xf numFmtId="2" fontId="12" fillId="12" borderId="9" xfId="1" applyNumberFormat="1" applyFont="1" applyFill="1" applyBorder="1" applyAlignment="1">
      <alignment horizontal="center" vertical="center"/>
    </xf>
    <xf numFmtId="2" fontId="12" fillId="0" borderId="12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center" vertical="center"/>
    </xf>
    <xf numFmtId="2" fontId="12" fillId="8" borderId="5" xfId="1" applyNumberFormat="1" applyFont="1" applyFill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vertical="center"/>
    </xf>
    <xf numFmtId="2" fontId="14" fillId="2" borderId="5" xfId="1" applyNumberFormat="1" applyFont="1" applyFill="1" applyBorder="1" applyAlignment="1">
      <alignment horizontal="center" vertical="center"/>
    </xf>
    <xf numFmtId="2" fontId="19" fillId="2" borderId="5" xfId="1" applyNumberFormat="1" applyFont="1" applyFill="1" applyBorder="1" applyAlignment="1">
      <alignment horizontal="center" vertical="center"/>
    </xf>
    <xf numFmtId="2" fontId="6" fillId="2" borderId="5" xfId="1" applyNumberFormat="1" applyFont="1" applyFill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5" fillId="2" borderId="5" xfId="1" applyNumberFormat="1" applyFont="1" applyFill="1" applyBorder="1" applyAlignment="1">
      <alignment horizontal="center" vertical="center"/>
    </xf>
    <xf numFmtId="2" fontId="12" fillId="2" borderId="5" xfId="1" applyNumberFormat="1" applyFont="1" applyFill="1" applyBorder="1" applyAlignment="1">
      <alignment horizontal="center" vertical="center"/>
    </xf>
    <xf numFmtId="2" fontId="10" fillId="13" borderId="5" xfId="0" applyNumberFormat="1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 wrapText="1"/>
    </xf>
    <xf numFmtId="2" fontId="12" fillId="8" borderId="5" xfId="0" applyNumberFormat="1" applyFont="1" applyFill="1" applyBorder="1" applyAlignment="1">
      <alignment horizontal="center" vertical="center"/>
    </xf>
    <xf numFmtId="2" fontId="10" fillId="3" borderId="5" xfId="0" applyNumberFormat="1" applyFont="1" applyFill="1" applyBorder="1" applyAlignment="1">
      <alignment horizontal="center" vertical="center"/>
    </xf>
    <xf numFmtId="2" fontId="6" fillId="5" borderId="5" xfId="1" applyNumberFormat="1" applyFont="1" applyFill="1" applyBorder="1" applyAlignment="1">
      <alignment horizontal="center" vertical="center"/>
    </xf>
    <xf numFmtId="2" fontId="16" fillId="8" borderId="5" xfId="1" applyNumberFormat="1" applyFont="1" applyFill="1" applyBorder="1" applyAlignment="1">
      <alignment horizontal="center" vertical="center"/>
    </xf>
    <xf numFmtId="2" fontId="14" fillId="5" borderId="5" xfId="1" applyNumberFormat="1" applyFont="1" applyFill="1" applyBorder="1" applyAlignment="1">
      <alignment horizontal="center" vertical="center"/>
    </xf>
    <xf numFmtId="2" fontId="19" fillId="5" borderId="5" xfId="1" applyNumberFormat="1" applyFont="1" applyFill="1" applyBorder="1" applyAlignment="1">
      <alignment horizontal="center" vertical="center"/>
    </xf>
    <xf numFmtId="2" fontId="15" fillId="5" borderId="5" xfId="1" applyNumberFormat="1" applyFont="1" applyFill="1" applyBorder="1" applyAlignment="1">
      <alignment horizontal="center" vertical="center"/>
    </xf>
    <xf numFmtId="2" fontId="6" fillId="6" borderId="5" xfId="1" applyNumberFormat="1" applyFont="1" applyFill="1" applyBorder="1" applyAlignment="1">
      <alignment horizontal="center" vertical="center"/>
    </xf>
    <xf numFmtId="2" fontId="11" fillId="8" borderId="5" xfId="0" applyNumberFormat="1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horizontal="center" vertical="center"/>
    </xf>
    <xf numFmtId="2" fontId="15" fillId="0" borderId="5" xfId="0" applyNumberFormat="1" applyFont="1" applyFill="1" applyBorder="1" applyAlignment="1">
      <alignment horizontal="center" vertical="center"/>
    </xf>
    <xf numFmtId="2" fontId="6" fillId="10" borderId="5" xfId="0" applyNumberFormat="1" applyFont="1" applyFill="1" applyBorder="1" applyAlignment="1">
      <alignment horizontal="center" vertical="center"/>
    </xf>
    <xf numFmtId="2" fontId="14" fillId="0" borderId="5" xfId="1" applyNumberFormat="1" applyFont="1" applyFill="1" applyBorder="1" applyAlignment="1">
      <alignment horizontal="center" vertical="center"/>
    </xf>
    <xf numFmtId="2" fontId="19" fillId="0" borderId="5" xfId="1" applyNumberFormat="1" applyFont="1" applyFill="1" applyBorder="1" applyAlignment="1">
      <alignment horizontal="center" vertical="center"/>
    </xf>
    <xf numFmtId="2" fontId="15" fillId="0" borderId="5" xfId="1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0" xfId="1" applyNumberFormat="1" applyFont="1" applyFill="1" applyBorder="1" applyAlignment="1">
      <alignment horizontal="center" vertical="center"/>
    </xf>
    <xf numFmtId="2" fontId="6" fillId="0" borderId="0" xfId="1" applyNumberFormat="1" applyFont="1" applyFill="1" applyBorder="1" applyAlignment="1">
      <alignment horizontal="center" vertical="center"/>
    </xf>
    <xf numFmtId="4" fontId="6" fillId="0" borderId="9" xfId="1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4" fontId="12" fillId="0" borderId="12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/>
    </xf>
    <xf numFmtId="4" fontId="6" fillId="0" borderId="10" xfId="1" applyNumberFormat="1" applyFont="1" applyFill="1" applyBorder="1" applyAlignment="1">
      <alignment horizontal="center" vertical="center"/>
    </xf>
    <xf numFmtId="4" fontId="12" fillId="0" borderId="13" xfId="0" applyNumberFormat="1" applyFont="1" applyFill="1" applyBorder="1" applyAlignment="1">
      <alignment horizontal="center" vertical="center"/>
    </xf>
    <xf numFmtId="4" fontId="12" fillId="0" borderId="16" xfId="0" applyNumberFormat="1" applyFont="1" applyFill="1" applyBorder="1" applyAlignment="1">
      <alignment horizontal="center" vertical="center"/>
    </xf>
    <xf numFmtId="2" fontId="9" fillId="10" borderId="5" xfId="0" applyNumberFormat="1" applyFont="1" applyFill="1" applyBorder="1" applyAlignment="1">
      <alignment horizontal="center" vertical="center" wrapText="1"/>
    </xf>
    <xf numFmtId="168" fontId="9" fillId="1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23" fillId="0" borderId="5" xfId="0" applyFont="1" applyBorder="1" applyAlignment="1">
      <alignment horizontal="center" vertical="center" wrapText="1"/>
    </xf>
    <xf numFmtId="0" fontId="24" fillId="0" borderId="8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3" fontId="17" fillId="0" borderId="6" xfId="0" applyNumberFormat="1" applyFont="1" applyBorder="1" applyAlignment="1">
      <alignment horizontal="center" vertical="center"/>
    </xf>
    <xf numFmtId="3" fontId="13" fillId="0" borderId="10" xfId="0" applyNumberFormat="1" applyFont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2" xfId="0" applyNumberFormat="1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2"/>
    <cellStyle name="Обычный 2 2" xfId="9"/>
    <cellStyle name="Обычный 3" xfId="5"/>
    <cellStyle name="Обычный 4" xfId="6"/>
    <cellStyle name="Обычный 4 3" xfId="7"/>
    <cellStyle name="Обычный 5" xfId="8"/>
    <cellStyle name="Процентный" xfId="1" builtinId="5"/>
    <cellStyle name="Процентный 2" xf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.bin"/><Relationship Id="rId3" Type="http://schemas.openxmlformats.org/officeDocument/2006/relationships/printerSettings" Target="../printerSettings/printerSettings9.bin"/><Relationship Id="rId7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N1032"/>
  <sheetViews>
    <sheetView topLeftCell="X1" zoomScaleNormal="70" workbookViewId="0">
      <selection activeCell="AC3" sqref="AC3"/>
    </sheetView>
  </sheetViews>
  <sheetFormatPr defaultRowHeight="12.75" x14ac:dyDescent="0.25"/>
  <cols>
    <col min="1" max="1" width="25" style="166" bestFit="1" customWidth="1"/>
    <col min="2" max="2" width="0.140625" style="142" customWidth="1"/>
    <col min="3" max="3" width="24.42578125" style="130" customWidth="1"/>
    <col min="4" max="4" width="16.42578125" style="142" hidden="1" customWidth="1"/>
    <col min="5" max="5" width="7.140625" style="142" hidden="1" customWidth="1"/>
    <col min="6" max="6" width="12.42578125" style="142" hidden="1" customWidth="1"/>
    <col min="7" max="7" width="10.85546875" style="142" hidden="1" customWidth="1"/>
    <col min="8" max="8" width="11.7109375" style="142" hidden="1" customWidth="1"/>
    <col min="9" max="10" width="9.140625" style="142" hidden="1" customWidth="1"/>
    <col min="11" max="11" width="12" style="142" customWidth="1"/>
    <col min="12" max="12" width="12" style="260" customWidth="1"/>
    <col min="13" max="13" width="15.7109375" style="142" customWidth="1"/>
    <col min="14" max="14" width="9.140625" style="142" customWidth="1"/>
    <col min="15" max="15" width="14.42578125" style="142" customWidth="1"/>
    <col min="16" max="16" width="13.5703125" style="159" customWidth="1"/>
    <col min="17" max="21" width="9.140625" style="142" customWidth="1"/>
    <col min="22" max="22" width="9.140625" style="159" customWidth="1"/>
    <col min="23" max="23" width="10.5703125" style="159" customWidth="1"/>
    <col min="24" max="24" width="11.140625" style="263" customWidth="1"/>
    <col min="25" max="25" width="13.5703125" style="168" customWidth="1"/>
    <col min="26" max="27" width="10.28515625" style="142" customWidth="1"/>
    <col min="28" max="28" width="17" style="142" customWidth="1"/>
    <col min="29" max="29" width="13.5703125" style="142" customWidth="1"/>
    <col min="30" max="30" width="7.5703125" style="142" customWidth="1"/>
    <col min="31" max="31" width="10.7109375" style="142" customWidth="1"/>
    <col min="32" max="32" width="7.85546875" style="142" customWidth="1"/>
    <col min="33" max="34" width="9.140625" style="142" customWidth="1"/>
    <col min="35" max="35" width="12.28515625" style="142" customWidth="1"/>
    <col min="36" max="36" width="10.7109375" style="260" customWidth="1"/>
    <col min="37" max="37" width="14.7109375" style="142" customWidth="1"/>
    <col min="38" max="38" width="9.140625" style="142" customWidth="1"/>
    <col min="39" max="39" width="13.42578125" style="142" customWidth="1"/>
    <col min="40" max="40" width="11.7109375" style="159" customWidth="1"/>
    <col min="41" max="42" width="9.140625" style="142" customWidth="1"/>
    <col min="43" max="43" width="9.7109375" style="142" customWidth="1"/>
    <col min="44" max="45" width="9.140625" style="142" customWidth="1"/>
    <col min="46" max="46" width="9.140625" style="159" customWidth="1"/>
    <col min="47" max="47" width="5.5703125" style="142" customWidth="1"/>
    <col min="48" max="48" width="13" style="142" customWidth="1"/>
    <col min="49" max="49" width="13.5703125" style="142" customWidth="1"/>
    <col min="50" max="50" width="7.28515625" style="142" customWidth="1"/>
    <col min="51" max="51" width="10.28515625" style="142" customWidth="1"/>
    <col min="52" max="52" width="9.5703125" style="142" customWidth="1"/>
    <col min="53" max="54" width="9.140625" style="142" customWidth="1"/>
    <col min="55" max="55" width="11.7109375" style="142" customWidth="1"/>
    <col min="56" max="56" width="10" style="256" customWidth="1"/>
    <col min="57" max="57" width="14.7109375" style="142" customWidth="1"/>
    <col min="58" max="58" width="9.140625" style="142" customWidth="1"/>
    <col min="59" max="59" width="13.7109375" style="142" customWidth="1"/>
    <col min="60" max="60" width="13.42578125" style="159" customWidth="1"/>
    <col min="61" max="65" width="9.140625" style="142" customWidth="1"/>
    <col min="66" max="66" width="17.42578125" style="159" customWidth="1"/>
    <col min="67" max="67" width="12" style="142" customWidth="1"/>
    <col min="68" max="70" width="10.85546875" style="142" customWidth="1"/>
    <col min="71" max="71" width="11.140625" style="142" customWidth="1"/>
    <col min="72" max="73" width="8.140625" style="142" customWidth="1"/>
    <col min="74" max="74" width="6.85546875" style="142" customWidth="1"/>
    <col min="75" max="75" width="9.140625" style="142" customWidth="1"/>
    <col min="76" max="76" width="12" style="142" customWidth="1"/>
    <col min="77" max="77" width="11.140625" style="256" customWidth="1"/>
    <col min="78" max="78" width="10.7109375" style="142" customWidth="1"/>
    <col min="79" max="79" width="9.140625" style="142" customWidth="1"/>
    <col min="80" max="80" width="14.28515625" style="142" customWidth="1"/>
    <col min="81" max="81" width="13.140625" style="159" customWidth="1"/>
    <col min="82" max="85" width="9.140625" style="142" customWidth="1"/>
    <col min="86" max="86" width="9.140625" style="159" customWidth="1"/>
    <col min="87" max="87" width="15.7109375" style="142" customWidth="1"/>
    <col min="88" max="88" width="15.7109375" style="256" customWidth="1"/>
    <col min="89" max="89" width="13" style="142" customWidth="1"/>
    <col min="90" max="90" width="15.28515625" style="142" customWidth="1"/>
    <col min="91" max="91" width="13" style="142" customWidth="1"/>
    <col min="92" max="92" width="12.85546875" style="148" customWidth="1"/>
    <col min="93" max="93" width="13.140625" style="142" customWidth="1"/>
    <col min="94" max="94" width="9.85546875" style="256" customWidth="1"/>
    <col min="95" max="95" width="10.42578125" style="142" customWidth="1"/>
    <col min="96" max="96" width="11.85546875" style="142" bestFit="1" customWidth="1"/>
    <col min="97" max="97" width="9.5703125" style="256" customWidth="1"/>
    <col min="98" max="98" width="11.5703125" style="142" customWidth="1"/>
    <col min="99" max="99" width="11.85546875" style="142" bestFit="1" customWidth="1"/>
    <col min="100" max="100" width="10.140625" style="256" customWidth="1"/>
    <col min="101" max="102" width="11.85546875" style="142" bestFit="1" customWidth="1"/>
    <col min="103" max="103" width="9.85546875" style="256" customWidth="1"/>
    <col min="104" max="104" width="10.42578125" style="142" customWidth="1"/>
    <col min="105" max="105" width="11.85546875" style="142" bestFit="1" customWidth="1"/>
    <col min="106" max="106" width="10.28515625" style="256" customWidth="1"/>
    <col min="107" max="107" width="11.5703125" style="142" customWidth="1"/>
    <col min="108" max="108" width="11.85546875" style="142" bestFit="1" customWidth="1"/>
    <col min="109" max="109" width="10" style="142" customWidth="1"/>
    <col min="110" max="111" width="11.85546875" style="142" bestFit="1" customWidth="1"/>
    <col min="112" max="112" width="9.85546875" style="142" customWidth="1"/>
    <col min="113" max="113" width="12.85546875" style="142" customWidth="1"/>
    <col min="114" max="114" width="11.85546875" style="142" bestFit="1" customWidth="1"/>
    <col min="115" max="115" width="10" style="142" customWidth="1"/>
    <col min="116" max="116" width="11.5703125" style="142" customWidth="1"/>
    <col min="117" max="117" width="11.85546875" style="142" bestFit="1" customWidth="1"/>
    <col min="118" max="118" width="10" style="142" customWidth="1"/>
    <col min="119" max="144" width="11.85546875" style="142" bestFit="1" customWidth="1"/>
    <col min="145" max="16384" width="9.140625" style="142"/>
  </cols>
  <sheetData>
    <row r="1" spans="1:120" s="124" customFormat="1" ht="61.5" customHeight="1" x14ac:dyDescent="0.25">
      <c r="A1" s="309" t="s">
        <v>0</v>
      </c>
      <c r="B1" s="308" t="s">
        <v>1</v>
      </c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 t="s">
        <v>149</v>
      </c>
      <c r="X1" s="308"/>
      <c r="Y1" s="308"/>
      <c r="Z1" s="308" t="s">
        <v>163</v>
      </c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 t="s">
        <v>2</v>
      </c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 t="s">
        <v>3</v>
      </c>
      <c r="BP1" s="308"/>
      <c r="BQ1" s="308"/>
      <c r="BR1" s="308"/>
      <c r="BS1" s="308"/>
      <c r="BT1" s="308"/>
      <c r="BU1" s="308"/>
      <c r="BV1" s="308"/>
      <c r="BW1" s="308"/>
      <c r="BX1" s="308"/>
      <c r="BY1" s="308"/>
      <c r="BZ1" s="308"/>
      <c r="CA1" s="308"/>
      <c r="CB1" s="308"/>
      <c r="CC1" s="308"/>
      <c r="CD1" s="308"/>
      <c r="CE1" s="308"/>
      <c r="CF1" s="308"/>
      <c r="CG1" s="308"/>
      <c r="CH1" s="308"/>
      <c r="CI1" s="312" t="s">
        <v>4</v>
      </c>
      <c r="CJ1" s="312"/>
      <c r="CK1" s="312"/>
      <c r="CL1" s="308" t="s">
        <v>5</v>
      </c>
      <c r="CM1" s="308"/>
      <c r="CN1" s="308"/>
      <c r="CO1" s="308" t="s">
        <v>137</v>
      </c>
      <c r="CP1" s="308"/>
      <c r="CQ1" s="308"/>
      <c r="CR1" s="308" t="s">
        <v>138</v>
      </c>
      <c r="CS1" s="308"/>
      <c r="CT1" s="308"/>
      <c r="CU1" s="308" t="s">
        <v>139</v>
      </c>
      <c r="CV1" s="308"/>
      <c r="CW1" s="308"/>
      <c r="CX1" s="308" t="s">
        <v>142</v>
      </c>
      <c r="CY1" s="308"/>
      <c r="CZ1" s="308"/>
      <c r="DA1" s="308" t="s">
        <v>143</v>
      </c>
      <c r="DB1" s="308"/>
      <c r="DC1" s="308"/>
      <c r="DD1" s="308" t="s">
        <v>144</v>
      </c>
      <c r="DE1" s="308"/>
      <c r="DF1" s="308"/>
      <c r="DG1" s="308" t="s">
        <v>145</v>
      </c>
      <c r="DH1" s="308"/>
      <c r="DI1" s="308"/>
      <c r="DJ1" s="308" t="s">
        <v>146</v>
      </c>
      <c r="DK1" s="308"/>
      <c r="DL1" s="308"/>
      <c r="DM1" s="308" t="s">
        <v>147</v>
      </c>
      <c r="DN1" s="308"/>
      <c r="DO1" s="313"/>
      <c r="DP1" s="193"/>
    </row>
    <row r="2" spans="1:120" s="138" customFormat="1" ht="15" hidden="1" customHeight="1" thickBot="1" x14ac:dyDescent="0.3">
      <c r="A2" s="310"/>
      <c r="B2" s="311"/>
      <c r="C2" s="311"/>
      <c r="D2" s="311"/>
      <c r="E2" s="311"/>
      <c r="F2" s="311"/>
      <c r="G2" s="311">
        <v>2018</v>
      </c>
      <c r="H2" s="311"/>
      <c r="I2" s="311">
        <v>2019</v>
      </c>
      <c r="J2" s="311"/>
      <c r="K2" s="311"/>
      <c r="L2" s="311"/>
      <c r="M2" s="311"/>
      <c r="N2" s="311"/>
      <c r="O2" s="311"/>
      <c r="P2" s="311"/>
      <c r="Q2" s="311">
        <v>2020</v>
      </c>
      <c r="R2" s="311"/>
      <c r="S2" s="311"/>
      <c r="T2" s="311"/>
      <c r="U2" s="311"/>
      <c r="V2" s="311"/>
      <c r="W2" s="222"/>
      <c r="X2" s="245"/>
      <c r="Y2" s="120"/>
      <c r="Z2" s="311">
        <v>2016</v>
      </c>
      <c r="AA2" s="311"/>
      <c r="AB2" s="311"/>
      <c r="AC2" s="311"/>
      <c r="AD2" s="311"/>
      <c r="AE2" s="311">
        <v>2018</v>
      </c>
      <c r="AF2" s="311"/>
      <c r="AG2" s="311">
        <v>2019</v>
      </c>
      <c r="AH2" s="311"/>
      <c r="AI2" s="311"/>
      <c r="AJ2" s="311"/>
      <c r="AK2" s="311"/>
      <c r="AL2" s="311"/>
      <c r="AM2" s="311"/>
      <c r="AN2" s="311"/>
      <c r="AO2" s="311">
        <v>2020</v>
      </c>
      <c r="AP2" s="311"/>
      <c r="AQ2" s="311"/>
      <c r="AR2" s="311"/>
      <c r="AS2" s="311"/>
      <c r="AT2" s="311"/>
      <c r="AU2" s="311">
        <v>2016</v>
      </c>
      <c r="AV2" s="311"/>
      <c r="AW2" s="311"/>
      <c r="AX2" s="311"/>
      <c r="AY2" s="311">
        <v>2018</v>
      </c>
      <c r="AZ2" s="311"/>
      <c r="BA2" s="311">
        <v>2019</v>
      </c>
      <c r="BB2" s="311"/>
      <c r="BC2" s="311"/>
      <c r="BD2" s="311"/>
      <c r="BE2" s="311"/>
      <c r="BF2" s="311"/>
      <c r="BG2" s="311"/>
      <c r="BH2" s="311"/>
      <c r="BI2" s="311">
        <v>2020</v>
      </c>
      <c r="BJ2" s="311"/>
      <c r="BK2" s="311"/>
      <c r="BL2" s="311"/>
      <c r="BM2" s="311"/>
      <c r="BN2" s="311"/>
      <c r="BO2" s="121">
        <v>2015</v>
      </c>
      <c r="BP2" s="121">
        <v>2016</v>
      </c>
      <c r="BQ2" s="121">
        <v>2016</v>
      </c>
      <c r="BR2" s="121">
        <v>2018</v>
      </c>
      <c r="BS2" s="121">
        <v>2013</v>
      </c>
      <c r="BT2" s="121">
        <v>2015</v>
      </c>
      <c r="BU2" s="222">
        <v>2018</v>
      </c>
      <c r="BV2" s="222">
        <v>2018</v>
      </c>
      <c r="BW2" s="311">
        <v>2019</v>
      </c>
      <c r="BX2" s="311"/>
      <c r="BY2" s="311"/>
      <c r="BZ2" s="311"/>
      <c r="CA2" s="311"/>
      <c r="CB2" s="311"/>
      <c r="CC2" s="311"/>
      <c r="CD2" s="311">
        <v>2020</v>
      </c>
      <c r="CE2" s="311"/>
      <c r="CF2" s="311"/>
      <c r="CG2" s="311"/>
      <c r="CH2" s="311"/>
      <c r="CI2" s="136"/>
      <c r="CJ2" s="274"/>
      <c r="CK2" s="136"/>
      <c r="CL2" s="136"/>
      <c r="CM2" s="136"/>
      <c r="CN2" s="137"/>
      <c r="CO2" s="136"/>
      <c r="CP2" s="274"/>
      <c r="CQ2" s="136"/>
      <c r="CR2" s="136"/>
      <c r="CS2" s="274"/>
      <c r="CT2" s="136"/>
      <c r="CU2" s="136"/>
      <c r="CV2" s="274"/>
      <c r="CW2" s="136"/>
      <c r="CX2" s="136"/>
      <c r="CY2" s="274"/>
      <c r="CZ2" s="136"/>
      <c r="DA2" s="136"/>
      <c r="DB2" s="274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204"/>
      <c r="DP2" s="194"/>
    </row>
    <row r="3" spans="1:120" s="138" customFormat="1" ht="90.75" customHeight="1" x14ac:dyDescent="0.25">
      <c r="A3" s="310"/>
      <c r="B3" s="222" t="s">
        <v>6</v>
      </c>
      <c r="C3" s="222" t="s">
        <v>7</v>
      </c>
      <c r="D3" s="222" t="s">
        <v>8</v>
      </c>
      <c r="E3" s="222" t="s">
        <v>9</v>
      </c>
      <c r="F3" s="222" t="s">
        <v>10</v>
      </c>
      <c r="G3" s="222" t="s">
        <v>11</v>
      </c>
      <c r="H3" s="222" t="s">
        <v>9</v>
      </c>
      <c r="I3" s="122" t="s">
        <v>148</v>
      </c>
      <c r="J3" s="222" t="s">
        <v>9</v>
      </c>
      <c r="K3" s="222" t="s">
        <v>161</v>
      </c>
      <c r="L3" s="240" t="s">
        <v>12</v>
      </c>
      <c r="M3" s="222" t="s">
        <v>164</v>
      </c>
      <c r="N3" s="222" t="s">
        <v>13</v>
      </c>
      <c r="O3" s="222" t="s">
        <v>162</v>
      </c>
      <c r="P3" s="222" t="s">
        <v>14</v>
      </c>
      <c r="Q3" s="122" t="s">
        <v>11</v>
      </c>
      <c r="R3" s="222" t="s">
        <v>9</v>
      </c>
      <c r="S3" s="222" t="s">
        <v>15</v>
      </c>
      <c r="T3" s="222" t="s">
        <v>16</v>
      </c>
      <c r="U3" s="222" t="s">
        <v>17</v>
      </c>
      <c r="V3" s="222" t="s">
        <v>18</v>
      </c>
      <c r="W3" s="222" t="s">
        <v>152</v>
      </c>
      <c r="X3" s="245" t="s">
        <v>150</v>
      </c>
      <c r="Y3" s="222" t="s">
        <v>151</v>
      </c>
      <c r="Z3" s="222" t="s">
        <v>6</v>
      </c>
      <c r="AA3" s="222"/>
      <c r="AB3" s="222" t="s">
        <v>19</v>
      </c>
      <c r="AC3" s="222" t="s">
        <v>9</v>
      </c>
      <c r="AD3" s="222" t="s">
        <v>10</v>
      </c>
      <c r="AE3" s="122" t="s">
        <v>11</v>
      </c>
      <c r="AF3" s="222" t="s">
        <v>9</v>
      </c>
      <c r="AG3" s="122" t="s">
        <v>11</v>
      </c>
      <c r="AH3" s="222" t="s">
        <v>9</v>
      </c>
      <c r="AI3" s="222" t="s">
        <v>161</v>
      </c>
      <c r="AJ3" s="240" t="s">
        <v>12</v>
      </c>
      <c r="AK3" s="222" t="s">
        <v>164</v>
      </c>
      <c r="AL3" s="222" t="s">
        <v>13</v>
      </c>
      <c r="AM3" s="222" t="s">
        <v>162</v>
      </c>
      <c r="AN3" s="222" t="s">
        <v>14</v>
      </c>
      <c r="AO3" s="122" t="s">
        <v>11</v>
      </c>
      <c r="AP3" s="222" t="s">
        <v>9</v>
      </c>
      <c r="AQ3" s="222" t="s">
        <v>15</v>
      </c>
      <c r="AR3" s="222" t="s">
        <v>16</v>
      </c>
      <c r="AS3" s="222" t="s">
        <v>17</v>
      </c>
      <c r="AT3" s="222" t="s">
        <v>18</v>
      </c>
      <c r="AU3" s="222" t="s">
        <v>6</v>
      </c>
      <c r="AV3" s="222" t="s">
        <v>19</v>
      </c>
      <c r="AW3" s="222" t="s">
        <v>9</v>
      </c>
      <c r="AX3" s="222" t="s">
        <v>10</v>
      </c>
      <c r="AY3" s="122" t="s">
        <v>11</v>
      </c>
      <c r="AZ3" s="222" t="s">
        <v>9</v>
      </c>
      <c r="BA3" s="122" t="s">
        <v>11</v>
      </c>
      <c r="BB3" s="222" t="s">
        <v>9</v>
      </c>
      <c r="BC3" s="222" t="s">
        <v>161</v>
      </c>
      <c r="BD3" s="245" t="s">
        <v>12</v>
      </c>
      <c r="BE3" s="222" t="s">
        <v>164</v>
      </c>
      <c r="BF3" s="222" t="s">
        <v>13</v>
      </c>
      <c r="BG3" s="222" t="s">
        <v>162</v>
      </c>
      <c r="BH3" s="222" t="s">
        <v>14</v>
      </c>
      <c r="BI3" s="122" t="s">
        <v>11</v>
      </c>
      <c r="BJ3" s="222" t="s">
        <v>9</v>
      </c>
      <c r="BK3" s="122" t="s">
        <v>15</v>
      </c>
      <c r="BL3" s="222" t="s">
        <v>16</v>
      </c>
      <c r="BM3" s="122" t="s">
        <v>17</v>
      </c>
      <c r="BN3" s="222" t="s">
        <v>18</v>
      </c>
      <c r="BO3" s="122" t="s">
        <v>20</v>
      </c>
      <c r="BP3" s="122" t="s">
        <v>20</v>
      </c>
      <c r="BQ3" s="122" t="s">
        <v>21</v>
      </c>
      <c r="BR3" s="122" t="s">
        <v>22</v>
      </c>
      <c r="BS3" s="122" t="s">
        <v>23</v>
      </c>
      <c r="BT3" s="122" t="s">
        <v>24</v>
      </c>
      <c r="BU3" s="122" t="s">
        <v>25</v>
      </c>
      <c r="BV3" s="122" t="s">
        <v>26</v>
      </c>
      <c r="BW3" s="122" t="s">
        <v>11</v>
      </c>
      <c r="BX3" s="222" t="s">
        <v>161</v>
      </c>
      <c r="BY3" s="245" t="s">
        <v>12</v>
      </c>
      <c r="BZ3" s="222" t="s">
        <v>164</v>
      </c>
      <c r="CA3" s="222" t="s">
        <v>13</v>
      </c>
      <c r="CB3" s="222" t="s">
        <v>162</v>
      </c>
      <c r="CC3" s="222" t="s">
        <v>14</v>
      </c>
      <c r="CD3" s="122" t="s">
        <v>11</v>
      </c>
      <c r="CE3" s="122" t="s">
        <v>15</v>
      </c>
      <c r="CF3" s="122" t="s">
        <v>16</v>
      </c>
      <c r="CG3" s="122" t="s">
        <v>17</v>
      </c>
      <c r="CH3" s="122" t="s">
        <v>18</v>
      </c>
      <c r="CI3" s="222" t="s">
        <v>140</v>
      </c>
      <c r="CJ3" s="245" t="s">
        <v>166</v>
      </c>
      <c r="CK3" s="222" t="s">
        <v>165</v>
      </c>
      <c r="CL3" s="122" t="s">
        <v>141</v>
      </c>
      <c r="CM3" s="122" t="s">
        <v>27</v>
      </c>
      <c r="CN3" s="120" t="s">
        <v>167</v>
      </c>
      <c r="CO3" s="222" t="s">
        <v>161</v>
      </c>
      <c r="CP3" s="245" t="s">
        <v>12</v>
      </c>
      <c r="CQ3" s="222" t="s">
        <v>164</v>
      </c>
      <c r="CR3" s="222" t="s">
        <v>161</v>
      </c>
      <c r="CS3" s="245" t="s">
        <v>12</v>
      </c>
      <c r="CT3" s="222" t="s">
        <v>164</v>
      </c>
      <c r="CU3" s="222" t="s">
        <v>161</v>
      </c>
      <c r="CV3" s="245" t="s">
        <v>12</v>
      </c>
      <c r="CW3" s="222" t="s">
        <v>164</v>
      </c>
      <c r="CX3" s="222" t="s">
        <v>161</v>
      </c>
      <c r="CY3" s="245" t="s">
        <v>12</v>
      </c>
      <c r="CZ3" s="222" t="s">
        <v>164</v>
      </c>
      <c r="DA3" s="222" t="s">
        <v>161</v>
      </c>
      <c r="DB3" s="245" t="s">
        <v>12</v>
      </c>
      <c r="DC3" s="222" t="s">
        <v>164</v>
      </c>
      <c r="DD3" s="222" t="s">
        <v>161</v>
      </c>
      <c r="DE3" s="222" t="s">
        <v>12</v>
      </c>
      <c r="DF3" s="222" t="s">
        <v>164</v>
      </c>
      <c r="DG3" s="222" t="s">
        <v>161</v>
      </c>
      <c r="DH3" s="222" t="s">
        <v>12</v>
      </c>
      <c r="DI3" s="222" t="s">
        <v>164</v>
      </c>
      <c r="DJ3" s="222" t="s">
        <v>161</v>
      </c>
      <c r="DK3" s="222" t="s">
        <v>12</v>
      </c>
      <c r="DL3" s="222" t="s">
        <v>164</v>
      </c>
      <c r="DM3" s="222" t="s">
        <v>161</v>
      </c>
      <c r="DN3" s="222" t="s">
        <v>12</v>
      </c>
      <c r="DO3" s="123" t="s">
        <v>164</v>
      </c>
      <c r="DP3" s="194"/>
    </row>
    <row r="4" spans="1:120" s="141" customFormat="1" x14ac:dyDescent="0.25">
      <c r="A4" s="218" t="s">
        <v>29</v>
      </c>
      <c r="B4" s="112">
        <v>2328</v>
      </c>
      <c r="C4" s="220"/>
      <c r="D4" s="112">
        <v>5700</v>
      </c>
      <c r="E4" s="113">
        <f>B4/D4</f>
        <v>0.40842105263157896</v>
      </c>
      <c r="F4" s="114">
        <v>2</v>
      </c>
      <c r="G4" s="115">
        <f>$B4*$G$98/$B$95</f>
        <v>1872.2343945608052</v>
      </c>
      <c r="H4" s="113">
        <f t="shared" ref="H4:H85" si="0">G4/D4</f>
        <v>0.32846217448435178</v>
      </c>
      <c r="I4" s="115">
        <f>D4*52%</f>
        <v>2964</v>
      </c>
      <c r="J4" s="113">
        <f t="shared" ref="J4:J85" si="1">I4/D4</f>
        <v>0.52</v>
      </c>
      <c r="K4" s="115">
        <f>I4*76%</f>
        <v>2252.64</v>
      </c>
      <c r="L4" s="241">
        <v>299.54000000000002</v>
      </c>
      <c r="M4" s="119">
        <f t="shared" ref="M4:M85" si="2">K4*L4</f>
        <v>674755.78560000006</v>
      </c>
      <c r="N4" s="115">
        <f t="shared" ref="N4:N85" si="3">I4*80%</f>
        <v>2371.2000000000003</v>
      </c>
      <c r="O4" s="115">
        <f>K4*58%</f>
        <v>1306.5311999999999</v>
      </c>
      <c r="P4" s="115">
        <f>I4*73%</f>
        <v>2163.7199999999998</v>
      </c>
      <c r="Q4" s="115">
        <f>D4*67%</f>
        <v>3819.0000000000005</v>
      </c>
      <c r="R4" s="116">
        <f t="shared" ref="R4:R85" si="4">Q4/D4</f>
        <v>0.67</v>
      </c>
      <c r="S4" s="115">
        <f t="shared" ref="S4:S85" si="5">Q4*76%</f>
        <v>2902.4400000000005</v>
      </c>
      <c r="T4" s="115">
        <f t="shared" ref="T4:T85" si="6">Q4*80%</f>
        <v>3055.2000000000007</v>
      </c>
      <c r="U4" s="115">
        <f>S4*58%</f>
        <v>1683.4152000000001</v>
      </c>
      <c r="V4" s="115">
        <f t="shared" ref="V4:V85" si="7">Q4*73%</f>
        <v>2787.8700000000003</v>
      </c>
      <c r="W4" s="115">
        <f t="shared" ref="W4:W67" si="8">K4*7%</f>
        <v>157.6848</v>
      </c>
      <c r="X4" s="246">
        <v>14</v>
      </c>
      <c r="Y4" s="119">
        <f t="shared" ref="Y4:Y67" si="9">W4*X4</f>
        <v>2207.5871999999999</v>
      </c>
      <c r="Z4" s="112">
        <v>467</v>
      </c>
      <c r="AA4" s="112"/>
      <c r="AB4" s="112">
        <v>900</v>
      </c>
      <c r="AC4" s="113">
        <f t="shared" ref="AC4:AC85" si="10">Z4/AB4</f>
        <v>0.51888888888888884</v>
      </c>
      <c r="AD4" s="114">
        <v>-3</v>
      </c>
      <c r="AE4" s="115">
        <f>$Z4</f>
        <v>467</v>
      </c>
      <c r="AF4" s="113">
        <f t="shared" ref="AF4:AF85" si="11">AE4/AB4</f>
        <v>0.51888888888888884</v>
      </c>
      <c r="AG4" s="117">
        <f>AE4</f>
        <v>467</v>
      </c>
      <c r="AH4" s="113">
        <f t="shared" ref="AH4:AH85" si="12">AG4/AB4</f>
        <v>0.51888888888888884</v>
      </c>
      <c r="AI4" s="115">
        <f>AG4*75%</f>
        <v>350.25</v>
      </c>
      <c r="AJ4" s="250">
        <v>299.14</v>
      </c>
      <c r="AK4" s="119">
        <f t="shared" ref="AK4:AK85" si="13">AI4*AJ4</f>
        <v>104773.78499999999</v>
      </c>
      <c r="AL4" s="115">
        <f t="shared" ref="AL4:AL85" si="14">AG4*81%</f>
        <v>378.27000000000004</v>
      </c>
      <c r="AM4" s="115">
        <f t="shared" ref="AM4:AM85" si="15">AI4*66%</f>
        <v>231.16500000000002</v>
      </c>
      <c r="AN4" s="115">
        <f t="shared" ref="AN4:AN85" si="16">AG4*85%</f>
        <v>396.95</v>
      </c>
      <c r="AO4" s="117">
        <f t="shared" ref="AO4:AO6" si="17">AB4*60%</f>
        <v>540</v>
      </c>
      <c r="AP4" s="113">
        <f t="shared" ref="AP4:AP85" si="18">AO4/AB4</f>
        <v>0.6</v>
      </c>
      <c r="AQ4" s="115">
        <f>AO4*75%</f>
        <v>405</v>
      </c>
      <c r="AR4" s="115">
        <f>AO4*81%</f>
        <v>437.40000000000003</v>
      </c>
      <c r="AS4" s="115">
        <f t="shared" ref="AS4:AS85" si="19">AQ4*68%</f>
        <v>275.40000000000003</v>
      </c>
      <c r="AT4" s="115">
        <f t="shared" ref="AT4:AT85" si="20">AO4*88%</f>
        <v>475.2</v>
      </c>
      <c r="AU4" s="118">
        <v>511</v>
      </c>
      <c r="AV4" s="118">
        <v>3500</v>
      </c>
      <c r="AW4" s="113">
        <f t="shared" ref="AW4:AW85" si="21">AU4/AV4</f>
        <v>0.14599999999999999</v>
      </c>
      <c r="AX4" s="114">
        <v>-3</v>
      </c>
      <c r="AY4" s="115">
        <f>AV4*15%</f>
        <v>525</v>
      </c>
      <c r="AZ4" s="113">
        <f t="shared" ref="AZ4:AZ85" si="22">AY4/AV4</f>
        <v>0.15</v>
      </c>
      <c r="BA4" s="114">
        <f>AV4*15%</f>
        <v>525</v>
      </c>
      <c r="BB4" s="113">
        <f t="shared" ref="BB4:BB85" si="23">BA4/AV4</f>
        <v>0.15</v>
      </c>
      <c r="BC4" s="115">
        <f>BA4*70%</f>
        <v>367.5</v>
      </c>
      <c r="BD4" s="247">
        <v>272.26</v>
      </c>
      <c r="BE4" s="119">
        <f t="shared" ref="BE4:BE85" si="24">BC4*BD4</f>
        <v>100055.55</v>
      </c>
      <c r="BF4" s="115">
        <f>BA4*72%</f>
        <v>378</v>
      </c>
      <c r="BG4" s="115">
        <f t="shared" ref="BG4:BG85" si="25">BC4*69%</f>
        <v>253.57499999999999</v>
      </c>
      <c r="BH4" s="115">
        <f t="shared" ref="BH4:BH85" si="26">BA4*83%</f>
        <v>435.75</v>
      </c>
      <c r="BI4" s="114">
        <f>AV4*15%</f>
        <v>525</v>
      </c>
      <c r="BJ4" s="113">
        <f t="shared" ref="BJ4:BJ85" si="27">BI4/AV4</f>
        <v>0.15</v>
      </c>
      <c r="BK4" s="115">
        <f>BI4*71%</f>
        <v>372.75</v>
      </c>
      <c r="BL4" s="115">
        <f>BI4*72%</f>
        <v>378</v>
      </c>
      <c r="BM4" s="115">
        <f t="shared" ref="BM4:BM25" si="28">BK4*69%</f>
        <v>257.19749999999999</v>
      </c>
      <c r="BN4" s="115">
        <f t="shared" ref="BN4:BN85" si="29">BI4*83%</f>
        <v>435.75</v>
      </c>
      <c r="BO4" s="114"/>
      <c r="BP4" s="114"/>
      <c r="BQ4" s="114"/>
      <c r="BR4" s="114"/>
      <c r="BS4" s="115">
        <f>2700*0.8%</f>
        <v>21.6</v>
      </c>
      <c r="BT4" s="114">
        <f>2000*1.3%</f>
        <v>26.000000000000004</v>
      </c>
      <c r="BU4" s="114">
        <v>15</v>
      </c>
      <c r="BV4" s="114"/>
      <c r="BW4" s="114">
        <v>0</v>
      </c>
      <c r="BX4" s="115">
        <f>BW4*66%</f>
        <v>0</v>
      </c>
      <c r="BY4" s="246">
        <v>0</v>
      </c>
      <c r="BZ4" s="119">
        <f t="shared" ref="BZ4:BZ85" si="30">BX4*BY4</f>
        <v>0</v>
      </c>
      <c r="CA4" s="115">
        <f>BW4*72%</f>
        <v>0</v>
      </c>
      <c r="CB4" s="115">
        <f t="shared" ref="CB4:CB25" si="31">BX4*69%</f>
        <v>0</v>
      </c>
      <c r="CC4" s="115">
        <f t="shared" ref="CC4:CC85" si="32">BW4*83%</f>
        <v>0</v>
      </c>
      <c r="CD4" s="114">
        <v>0</v>
      </c>
      <c r="CE4" s="115">
        <f>CD4*66%</f>
        <v>0</v>
      </c>
      <c r="CF4" s="115">
        <f>CD4*72%</f>
        <v>0</v>
      </c>
      <c r="CG4" s="115">
        <f t="shared" ref="CG4:CG25" si="33">CE4*69%</f>
        <v>0</v>
      </c>
      <c r="CH4" s="115">
        <f t="shared" ref="CH4:CH85" si="34">CD4*83%</f>
        <v>0</v>
      </c>
      <c r="CI4" s="139">
        <v>0</v>
      </c>
      <c r="CJ4" s="140">
        <v>0</v>
      </c>
      <c r="CK4" s="139">
        <v>0</v>
      </c>
      <c r="CL4" s="139" t="s">
        <v>136</v>
      </c>
      <c r="CM4" s="139">
        <v>1440</v>
      </c>
      <c r="CN4" s="185">
        <v>177116</v>
      </c>
      <c r="CO4" s="139">
        <v>0</v>
      </c>
      <c r="CP4" s="140">
        <v>2249.79</v>
      </c>
      <c r="CQ4" s="139">
        <f>CO4*CP4</f>
        <v>0</v>
      </c>
      <c r="CR4" s="139">
        <v>0</v>
      </c>
      <c r="CS4" s="140">
        <v>445.51</v>
      </c>
      <c r="CT4" s="139">
        <f>CR4*CS4</f>
        <v>0</v>
      </c>
      <c r="CU4" s="139">
        <v>0</v>
      </c>
      <c r="CV4" s="140">
        <v>2249.79</v>
      </c>
      <c r="CW4" s="139">
        <f>CU4*CV4</f>
        <v>0</v>
      </c>
      <c r="CX4" s="139">
        <v>0</v>
      </c>
      <c r="CY4" s="140">
        <v>2249.79</v>
      </c>
      <c r="CZ4" s="139">
        <f>CX4*CY4</f>
        <v>0</v>
      </c>
      <c r="DA4" s="139">
        <v>0</v>
      </c>
      <c r="DB4" s="140">
        <v>464.26</v>
      </c>
      <c r="DC4" s="139">
        <f>DA4*DB4</f>
        <v>0</v>
      </c>
      <c r="DD4" s="139">
        <v>0</v>
      </c>
      <c r="DE4" s="140">
        <v>2249.79</v>
      </c>
      <c r="DF4" s="139">
        <f>DD4*DE4</f>
        <v>0</v>
      </c>
      <c r="DG4" s="139">
        <v>0</v>
      </c>
      <c r="DH4" s="140">
        <v>2249.79</v>
      </c>
      <c r="DI4" s="139">
        <f>DG4*DH4</f>
        <v>0</v>
      </c>
      <c r="DJ4" s="139">
        <v>0</v>
      </c>
      <c r="DK4" s="139">
        <v>504.26</v>
      </c>
      <c r="DL4" s="139">
        <f>DJ4*DK4</f>
        <v>0</v>
      </c>
      <c r="DM4" s="139">
        <v>0</v>
      </c>
      <c r="DN4" s="140">
        <v>2249.79</v>
      </c>
      <c r="DO4" s="205">
        <f>DM4*DN4</f>
        <v>0</v>
      </c>
      <c r="DP4" s="195"/>
    </row>
    <row r="5" spans="1:120" ht="38.25" x14ac:dyDescent="0.25">
      <c r="A5" s="17" t="s">
        <v>29</v>
      </c>
      <c r="B5" s="9"/>
      <c r="C5" s="19" t="s">
        <v>30</v>
      </c>
      <c r="D5" s="9"/>
      <c r="E5" s="10"/>
      <c r="F5" s="11"/>
      <c r="G5" s="7"/>
      <c r="H5" s="10"/>
      <c r="I5" s="7"/>
      <c r="J5" s="10"/>
      <c r="K5" s="7">
        <v>2253</v>
      </c>
      <c r="L5" s="241">
        <v>299.54000000000002</v>
      </c>
      <c r="M5" s="187">
        <f>K5*L5</f>
        <v>674863.62</v>
      </c>
      <c r="N5" s="7"/>
      <c r="O5" s="7">
        <f>K5*58%</f>
        <v>1306.74</v>
      </c>
      <c r="P5" s="7"/>
      <c r="Q5" s="7"/>
      <c r="R5" s="188"/>
      <c r="S5" s="7"/>
      <c r="T5" s="7"/>
      <c r="U5" s="7"/>
      <c r="V5" s="7"/>
      <c r="W5" s="7">
        <f t="shared" si="8"/>
        <v>157.71</v>
      </c>
      <c r="X5" s="247">
        <v>14</v>
      </c>
      <c r="Y5" s="187">
        <f t="shared" si="9"/>
        <v>2207.94</v>
      </c>
      <c r="Z5" s="9"/>
      <c r="AA5" s="9"/>
      <c r="AB5" s="9"/>
      <c r="AC5" s="10"/>
      <c r="AD5" s="11"/>
      <c r="AE5" s="7"/>
      <c r="AF5" s="10"/>
      <c r="AG5" s="18"/>
      <c r="AH5" s="10"/>
      <c r="AI5" s="7">
        <f>AI4</f>
        <v>350.25</v>
      </c>
      <c r="AJ5" s="250">
        <v>299.14</v>
      </c>
      <c r="AK5" s="187">
        <f>AI5*AJ5</f>
        <v>104773.78499999999</v>
      </c>
      <c r="AL5" s="7"/>
      <c r="AM5" s="7">
        <f>AI5*66%</f>
        <v>231.16500000000002</v>
      </c>
      <c r="AN5" s="7"/>
      <c r="AO5" s="18"/>
      <c r="AP5" s="10"/>
      <c r="AQ5" s="7"/>
      <c r="AR5" s="7"/>
      <c r="AS5" s="7"/>
      <c r="AT5" s="7"/>
      <c r="AU5" s="12"/>
      <c r="AV5" s="12"/>
      <c r="AW5" s="10"/>
      <c r="AX5" s="11"/>
      <c r="AY5" s="7"/>
      <c r="AZ5" s="10"/>
      <c r="BA5" s="11"/>
      <c r="BB5" s="10"/>
      <c r="BC5" s="7">
        <f>BC4</f>
        <v>367.5</v>
      </c>
      <c r="BD5" s="247">
        <v>272.26</v>
      </c>
      <c r="BE5" s="187">
        <f>BC5*BD5</f>
        <v>100055.55</v>
      </c>
      <c r="BF5" s="7"/>
      <c r="BG5" s="7">
        <f>BC5*69%</f>
        <v>253.57499999999999</v>
      </c>
      <c r="BH5" s="7"/>
      <c r="BI5" s="11"/>
      <c r="BJ5" s="10"/>
      <c r="BK5" s="7"/>
      <c r="BL5" s="7"/>
      <c r="BM5" s="7"/>
      <c r="BN5" s="7"/>
      <c r="BO5" s="11"/>
      <c r="BP5" s="11"/>
      <c r="BQ5" s="11"/>
      <c r="BR5" s="11"/>
      <c r="BS5" s="7"/>
      <c r="BT5" s="11"/>
      <c r="BU5" s="11"/>
      <c r="BV5" s="11"/>
      <c r="BW5" s="11"/>
      <c r="BX5" s="7">
        <v>0</v>
      </c>
      <c r="BY5" s="247">
        <v>0</v>
      </c>
      <c r="BZ5" s="187">
        <v>0</v>
      </c>
      <c r="CA5" s="7"/>
      <c r="CB5" s="7">
        <v>0</v>
      </c>
      <c r="CC5" s="7"/>
      <c r="CD5" s="11"/>
      <c r="CE5" s="7"/>
      <c r="CF5" s="7"/>
      <c r="CG5" s="7"/>
      <c r="CH5" s="7"/>
      <c r="CI5" s="13">
        <v>0</v>
      </c>
      <c r="CJ5" s="189">
        <v>0</v>
      </c>
      <c r="CK5" s="13">
        <v>0</v>
      </c>
      <c r="CL5" s="13"/>
      <c r="CM5" s="13">
        <v>1440</v>
      </c>
      <c r="CN5" s="14">
        <f>CN4</f>
        <v>177116</v>
      </c>
      <c r="CO5" s="13">
        <v>0</v>
      </c>
      <c r="CP5" s="189">
        <v>2249.79</v>
      </c>
      <c r="CQ5" s="13">
        <f t="shared" ref="CQ5:CQ68" si="35">CO5*CP5</f>
        <v>0</v>
      </c>
      <c r="CR5" s="13">
        <v>0</v>
      </c>
      <c r="CS5" s="189">
        <v>445.51</v>
      </c>
      <c r="CT5" s="13">
        <f>CR5*CS5</f>
        <v>0</v>
      </c>
      <c r="CU5" s="13">
        <v>0</v>
      </c>
      <c r="CV5" s="189">
        <v>2249.79</v>
      </c>
      <c r="CW5" s="13">
        <f t="shared" ref="CW5:CW68" si="36">CU5*CV5</f>
        <v>0</v>
      </c>
      <c r="CX5" s="13">
        <v>0</v>
      </c>
      <c r="CY5" s="189">
        <v>2249.79</v>
      </c>
      <c r="CZ5" s="13">
        <f t="shared" ref="CZ5:CZ68" si="37">CX5*CY5</f>
        <v>0</v>
      </c>
      <c r="DA5" s="13">
        <v>0</v>
      </c>
      <c r="DB5" s="189">
        <v>464.26</v>
      </c>
      <c r="DC5" s="13">
        <f t="shared" ref="DC5:DC68" si="38">DA5*DB5</f>
        <v>0</v>
      </c>
      <c r="DD5" s="13">
        <v>0</v>
      </c>
      <c r="DE5" s="189">
        <v>2249.79</v>
      </c>
      <c r="DF5" s="13">
        <f t="shared" ref="DF5:DF68" si="39">DD5*DE5</f>
        <v>0</v>
      </c>
      <c r="DG5" s="13">
        <v>0</v>
      </c>
      <c r="DH5" s="189">
        <v>2249.79</v>
      </c>
      <c r="DI5" s="13">
        <f t="shared" ref="DI5:DI68" si="40">DG5*DH5</f>
        <v>0</v>
      </c>
      <c r="DJ5" s="13">
        <v>0</v>
      </c>
      <c r="DK5" s="13">
        <v>504.26</v>
      </c>
      <c r="DL5" s="13">
        <f t="shared" ref="DL5:DL68" si="41">DJ5*DK5</f>
        <v>0</v>
      </c>
      <c r="DM5" s="13">
        <v>0</v>
      </c>
      <c r="DN5" s="189">
        <v>2249.79</v>
      </c>
      <c r="DO5" s="16">
        <f t="shared" ref="DO5:DO68" si="42">DM5*DN5</f>
        <v>0</v>
      </c>
      <c r="DP5" s="196"/>
    </row>
    <row r="6" spans="1:120" s="143" customFormat="1" x14ac:dyDescent="0.25">
      <c r="A6" s="218" t="s">
        <v>31</v>
      </c>
      <c r="B6" s="112">
        <v>1619</v>
      </c>
      <c r="C6" s="220"/>
      <c r="D6" s="112">
        <v>6600</v>
      </c>
      <c r="E6" s="113">
        <f>B6/D6</f>
        <v>0.2453030303030303</v>
      </c>
      <c r="F6" s="114">
        <v>-1</v>
      </c>
      <c r="G6" s="115">
        <f>$B6*$G$98/$B$95</f>
        <v>1302.0392975919003</v>
      </c>
      <c r="H6" s="113">
        <f t="shared" si="0"/>
        <v>0.19727868145331823</v>
      </c>
      <c r="I6" s="115">
        <f>D6*36%</f>
        <v>2376</v>
      </c>
      <c r="J6" s="113">
        <f t="shared" si="1"/>
        <v>0.36</v>
      </c>
      <c r="K6" s="115">
        <f t="shared" ref="K6:K85" si="43">I6*76%</f>
        <v>1805.76</v>
      </c>
      <c r="L6" s="241">
        <v>299.54000000000002</v>
      </c>
      <c r="M6" s="119">
        <f t="shared" si="2"/>
        <v>540897.3504</v>
      </c>
      <c r="N6" s="115">
        <f t="shared" si="3"/>
        <v>1900.8000000000002</v>
      </c>
      <c r="O6" s="115">
        <f t="shared" ref="O6:O85" si="44">K6*58%</f>
        <v>1047.3407999999999</v>
      </c>
      <c r="P6" s="115">
        <f t="shared" ref="P6:P85" si="45">I6*73%</f>
        <v>1734.48</v>
      </c>
      <c r="Q6" s="115">
        <f>D6*64%</f>
        <v>4224</v>
      </c>
      <c r="R6" s="116">
        <f t="shared" si="4"/>
        <v>0.64</v>
      </c>
      <c r="S6" s="115">
        <f t="shared" si="5"/>
        <v>3210.2400000000002</v>
      </c>
      <c r="T6" s="115">
        <f t="shared" si="6"/>
        <v>3379.2000000000003</v>
      </c>
      <c r="U6" s="115">
        <f t="shared" ref="U6:U85" si="46">S6*58%</f>
        <v>1861.9392</v>
      </c>
      <c r="V6" s="115">
        <f t="shared" si="7"/>
        <v>3083.52</v>
      </c>
      <c r="W6" s="115">
        <f t="shared" si="8"/>
        <v>126.40320000000001</v>
      </c>
      <c r="X6" s="246">
        <v>14</v>
      </c>
      <c r="Y6" s="119">
        <f t="shared" si="9"/>
        <v>1769.6448000000003</v>
      </c>
      <c r="Z6" s="112">
        <v>473</v>
      </c>
      <c r="AA6" s="112"/>
      <c r="AB6" s="112">
        <v>800</v>
      </c>
      <c r="AC6" s="113">
        <f t="shared" si="10"/>
        <v>0.59125000000000005</v>
      </c>
      <c r="AD6" s="114">
        <v>-3</v>
      </c>
      <c r="AE6" s="115">
        <v>413</v>
      </c>
      <c r="AF6" s="113">
        <f t="shared" si="11"/>
        <v>0.51624999999999999</v>
      </c>
      <c r="AG6" s="117">
        <f>AE6</f>
        <v>413</v>
      </c>
      <c r="AH6" s="113">
        <f t="shared" si="12"/>
        <v>0.51624999999999999</v>
      </c>
      <c r="AI6" s="115">
        <f t="shared" ref="AI6:AI85" si="47">AG6*75%</f>
        <v>309.75</v>
      </c>
      <c r="AJ6" s="250">
        <v>299.14</v>
      </c>
      <c r="AK6" s="119">
        <f t="shared" si="13"/>
        <v>92658.614999999991</v>
      </c>
      <c r="AL6" s="115">
        <f t="shared" si="14"/>
        <v>334.53000000000003</v>
      </c>
      <c r="AM6" s="115">
        <f t="shared" si="15"/>
        <v>204.435</v>
      </c>
      <c r="AN6" s="115">
        <f t="shared" si="16"/>
        <v>351.05</v>
      </c>
      <c r="AO6" s="117">
        <f t="shared" si="17"/>
        <v>480</v>
      </c>
      <c r="AP6" s="113">
        <f t="shared" si="18"/>
        <v>0.6</v>
      </c>
      <c r="AQ6" s="115">
        <f t="shared" ref="AQ6:AQ85" si="48">AO6*75%</f>
        <v>360</v>
      </c>
      <c r="AR6" s="115">
        <f t="shared" ref="AR6:AR85" si="49">AO6*81%</f>
        <v>388.8</v>
      </c>
      <c r="AS6" s="115">
        <f t="shared" si="19"/>
        <v>244.8</v>
      </c>
      <c r="AT6" s="115">
        <f t="shared" si="20"/>
        <v>422.4</v>
      </c>
      <c r="AU6" s="118">
        <v>368</v>
      </c>
      <c r="AV6" s="118">
        <v>2100</v>
      </c>
      <c r="AW6" s="113">
        <f t="shared" si="21"/>
        <v>0.17523809523809525</v>
      </c>
      <c r="AX6" s="114">
        <v>-3</v>
      </c>
      <c r="AY6" s="115">
        <f>AV6*18%</f>
        <v>378</v>
      </c>
      <c r="AZ6" s="113">
        <f t="shared" si="22"/>
        <v>0.18</v>
      </c>
      <c r="BA6" s="114">
        <f>AV6*18%</f>
        <v>378</v>
      </c>
      <c r="BB6" s="113">
        <f t="shared" si="23"/>
        <v>0.18</v>
      </c>
      <c r="BC6" s="115">
        <f t="shared" ref="BC6:BC85" si="50">BA6*70%</f>
        <v>264.59999999999997</v>
      </c>
      <c r="BD6" s="247">
        <v>272.26</v>
      </c>
      <c r="BE6" s="119">
        <f t="shared" si="24"/>
        <v>72039.995999999985</v>
      </c>
      <c r="BF6" s="115">
        <f t="shared" ref="BF6:BF85" si="51">BA6*72%</f>
        <v>272.15999999999997</v>
      </c>
      <c r="BG6" s="115">
        <f t="shared" si="25"/>
        <v>182.57399999999996</v>
      </c>
      <c r="BH6" s="115">
        <f t="shared" si="26"/>
        <v>313.74</v>
      </c>
      <c r="BI6" s="114">
        <f>AV6*18%</f>
        <v>378</v>
      </c>
      <c r="BJ6" s="113">
        <f t="shared" si="27"/>
        <v>0.18</v>
      </c>
      <c r="BK6" s="115">
        <f t="shared" ref="BK6:BK85" si="52">BI6*71%</f>
        <v>268.38</v>
      </c>
      <c r="BL6" s="115">
        <f t="shared" ref="BL6:BL85" si="53">BI6*72%</f>
        <v>272.15999999999997</v>
      </c>
      <c r="BM6" s="115">
        <f t="shared" si="28"/>
        <v>185.18219999999999</v>
      </c>
      <c r="BN6" s="115">
        <f t="shared" si="29"/>
        <v>313.74</v>
      </c>
      <c r="BO6" s="114"/>
      <c r="BP6" s="114"/>
      <c r="BQ6" s="114"/>
      <c r="BR6" s="114">
        <v>1</v>
      </c>
      <c r="BS6" s="115">
        <f>900*0.5%</f>
        <v>4.5</v>
      </c>
      <c r="BT6" s="114">
        <f>1000*1.3%</f>
        <v>13.000000000000002</v>
      </c>
      <c r="BU6" s="114"/>
      <c r="BV6" s="114"/>
      <c r="BW6" s="114">
        <v>0</v>
      </c>
      <c r="BX6" s="115">
        <v>0</v>
      </c>
      <c r="BY6" s="246">
        <v>0</v>
      </c>
      <c r="BZ6" s="119">
        <f t="shared" si="30"/>
        <v>0</v>
      </c>
      <c r="CA6" s="115"/>
      <c r="CB6" s="115">
        <v>0</v>
      </c>
      <c r="CC6" s="115"/>
      <c r="CD6" s="114"/>
      <c r="CE6" s="115"/>
      <c r="CF6" s="115"/>
      <c r="CG6" s="115"/>
      <c r="CH6" s="115"/>
      <c r="CI6" s="139">
        <v>0</v>
      </c>
      <c r="CJ6" s="140">
        <v>0</v>
      </c>
      <c r="CK6" s="139">
        <v>0</v>
      </c>
      <c r="CL6" s="139" t="s">
        <v>135</v>
      </c>
      <c r="CM6" s="139">
        <v>1440</v>
      </c>
      <c r="CN6" s="185">
        <v>150596</v>
      </c>
      <c r="CO6" s="139">
        <v>0</v>
      </c>
      <c r="CP6" s="140">
        <v>2249.79</v>
      </c>
      <c r="CQ6" s="139">
        <f t="shared" si="35"/>
        <v>0</v>
      </c>
      <c r="CR6" s="139">
        <v>0</v>
      </c>
      <c r="CS6" s="140">
        <v>445.51</v>
      </c>
      <c r="CT6" s="139">
        <f t="shared" ref="CT6:CT69" si="54">CR6*CS6</f>
        <v>0</v>
      </c>
      <c r="CU6" s="139">
        <v>0</v>
      </c>
      <c r="CV6" s="140">
        <v>2249.79</v>
      </c>
      <c r="CW6" s="139">
        <f t="shared" si="36"/>
        <v>0</v>
      </c>
      <c r="CX6" s="139">
        <v>0</v>
      </c>
      <c r="CY6" s="140">
        <v>2249.79</v>
      </c>
      <c r="CZ6" s="139">
        <f t="shared" si="37"/>
        <v>0</v>
      </c>
      <c r="DA6" s="139">
        <v>0</v>
      </c>
      <c r="DB6" s="140">
        <v>464.26</v>
      </c>
      <c r="DC6" s="139">
        <f t="shared" si="38"/>
        <v>0</v>
      </c>
      <c r="DD6" s="139">
        <v>0</v>
      </c>
      <c r="DE6" s="140">
        <v>2249.79</v>
      </c>
      <c r="DF6" s="139">
        <f t="shared" si="39"/>
        <v>0</v>
      </c>
      <c r="DG6" s="139">
        <v>0</v>
      </c>
      <c r="DH6" s="140">
        <v>2249.79</v>
      </c>
      <c r="DI6" s="139">
        <f t="shared" si="40"/>
        <v>0</v>
      </c>
      <c r="DJ6" s="139">
        <v>0</v>
      </c>
      <c r="DK6" s="139">
        <v>504.26</v>
      </c>
      <c r="DL6" s="139">
        <f t="shared" si="41"/>
        <v>0</v>
      </c>
      <c r="DM6" s="139">
        <v>0</v>
      </c>
      <c r="DN6" s="140">
        <v>2249.79</v>
      </c>
      <c r="DO6" s="205">
        <f t="shared" si="42"/>
        <v>0</v>
      </c>
      <c r="DP6" s="197"/>
    </row>
    <row r="7" spans="1:120" ht="25.5" x14ac:dyDescent="0.25">
      <c r="A7" s="17" t="s">
        <v>31</v>
      </c>
      <c r="B7" s="9"/>
      <c r="C7" s="19" t="s">
        <v>32</v>
      </c>
      <c r="D7" s="9"/>
      <c r="E7" s="10"/>
      <c r="F7" s="11"/>
      <c r="G7" s="7"/>
      <c r="H7" s="10"/>
      <c r="I7" s="7"/>
      <c r="J7" s="10"/>
      <c r="K7" s="7">
        <v>1806</v>
      </c>
      <c r="L7" s="241">
        <v>299.54000000000002</v>
      </c>
      <c r="M7" s="187">
        <f>K7*L7</f>
        <v>540969.24</v>
      </c>
      <c r="N7" s="7"/>
      <c r="O7" s="7">
        <f>K7*58%</f>
        <v>1047.48</v>
      </c>
      <c r="P7" s="7"/>
      <c r="Q7" s="7"/>
      <c r="R7" s="188"/>
      <c r="S7" s="7"/>
      <c r="T7" s="7"/>
      <c r="U7" s="7"/>
      <c r="V7" s="7"/>
      <c r="W7" s="7">
        <f t="shared" si="8"/>
        <v>126.42000000000002</v>
      </c>
      <c r="X7" s="247">
        <v>14</v>
      </c>
      <c r="Y7" s="187">
        <f t="shared" si="9"/>
        <v>1769.88</v>
      </c>
      <c r="Z7" s="9"/>
      <c r="AA7" s="9"/>
      <c r="AB7" s="9"/>
      <c r="AC7" s="10"/>
      <c r="AD7" s="11"/>
      <c r="AE7" s="7"/>
      <c r="AF7" s="10"/>
      <c r="AG7" s="18"/>
      <c r="AH7" s="10"/>
      <c r="AI7" s="7">
        <f>AI6</f>
        <v>309.75</v>
      </c>
      <c r="AJ7" s="250">
        <v>299.14</v>
      </c>
      <c r="AK7" s="187">
        <f>AI7*AJ7</f>
        <v>92658.614999999991</v>
      </c>
      <c r="AL7" s="7"/>
      <c r="AM7" s="7">
        <f>AI7*66%</f>
        <v>204.435</v>
      </c>
      <c r="AN7" s="7"/>
      <c r="AO7" s="18"/>
      <c r="AP7" s="10"/>
      <c r="AQ7" s="7"/>
      <c r="AR7" s="7"/>
      <c r="AS7" s="7"/>
      <c r="AT7" s="7"/>
      <c r="AU7" s="12"/>
      <c r="AV7" s="12"/>
      <c r="AW7" s="10"/>
      <c r="AX7" s="11"/>
      <c r="AY7" s="7"/>
      <c r="AZ7" s="10"/>
      <c r="BA7" s="11"/>
      <c r="BB7" s="10"/>
      <c r="BC7" s="7">
        <f>BC6</f>
        <v>264.59999999999997</v>
      </c>
      <c r="BD7" s="247">
        <v>272.26</v>
      </c>
      <c r="BE7" s="187">
        <f>BC7*BD7</f>
        <v>72039.995999999985</v>
      </c>
      <c r="BF7" s="7"/>
      <c r="BG7" s="7">
        <f>BC7*69%</f>
        <v>182.57399999999996</v>
      </c>
      <c r="BH7" s="7"/>
      <c r="BI7" s="11"/>
      <c r="BJ7" s="10"/>
      <c r="BK7" s="7"/>
      <c r="BL7" s="7"/>
      <c r="BM7" s="7"/>
      <c r="BN7" s="7"/>
      <c r="BO7" s="11"/>
      <c r="BP7" s="11"/>
      <c r="BQ7" s="11"/>
      <c r="BR7" s="11"/>
      <c r="BS7" s="7"/>
      <c r="BT7" s="11"/>
      <c r="BU7" s="11"/>
      <c r="BV7" s="11"/>
      <c r="BW7" s="11"/>
      <c r="BX7" s="7">
        <v>0</v>
      </c>
      <c r="BY7" s="247">
        <v>0</v>
      </c>
      <c r="BZ7" s="187">
        <v>0</v>
      </c>
      <c r="CA7" s="7"/>
      <c r="CB7" s="7">
        <v>0</v>
      </c>
      <c r="CC7" s="7"/>
      <c r="CD7" s="11"/>
      <c r="CE7" s="7"/>
      <c r="CF7" s="7"/>
      <c r="CG7" s="7"/>
      <c r="CH7" s="7"/>
      <c r="CI7" s="13">
        <v>0</v>
      </c>
      <c r="CJ7" s="189">
        <v>0</v>
      </c>
      <c r="CK7" s="13">
        <v>0</v>
      </c>
      <c r="CL7" s="13"/>
      <c r="CM7" s="13">
        <v>1440</v>
      </c>
      <c r="CN7" s="14">
        <f>CN6</f>
        <v>150596</v>
      </c>
      <c r="CO7" s="13">
        <v>0</v>
      </c>
      <c r="CP7" s="189">
        <v>2249.79</v>
      </c>
      <c r="CQ7" s="13">
        <f t="shared" si="35"/>
        <v>0</v>
      </c>
      <c r="CR7" s="13">
        <v>0</v>
      </c>
      <c r="CS7" s="189">
        <v>445.51</v>
      </c>
      <c r="CT7" s="13">
        <f t="shared" si="54"/>
        <v>0</v>
      </c>
      <c r="CU7" s="13">
        <v>0</v>
      </c>
      <c r="CV7" s="189">
        <v>2249.79</v>
      </c>
      <c r="CW7" s="13">
        <f t="shared" si="36"/>
        <v>0</v>
      </c>
      <c r="CX7" s="13">
        <v>0</v>
      </c>
      <c r="CY7" s="189">
        <v>2249.79</v>
      </c>
      <c r="CZ7" s="13">
        <f t="shared" si="37"/>
        <v>0</v>
      </c>
      <c r="DA7" s="13">
        <v>0</v>
      </c>
      <c r="DB7" s="189">
        <v>464.26</v>
      </c>
      <c r="DC7" s="13">
        <f t="shared" si="38"/>
        <v>0</v>
      </c>
      <c r="DD7" s="13">
        <v>0</v>
      </c>
      <c r="DE7" s="189">
        <v>2249.79</v>
      </c>
      <c r="DF7" s="13">
        <f t="shared" si="39"/>
        <v>0</v>
      </c>
      <c r="DG7" s="13">
        <v>0</v>
      </c>
      <c r="DH7" s="189">
        <v>2249.79</v>
      </c>
      <c r="DI7" s="13">
        <f t="shared" si="40"/>
        <v>0</v>
      </c>
      <c r="DJ7" s="13">
        <v>0</v>
      </c>
      <c r="DK7" s="13">
        <v>504.26</v>
      </c>
      <c r="DL7" s="13">
        <f t="shared" si="41"/>
        <v>0</v>
      </c>
      <c r="DM7" s="13">
        <v>0</v>
      </c>
      <c r="DN7" s="189">
        <v>2249.79</v>
      </c>
      <c r="DO7" s="16">
        <f t="shared" si="42"/>
        <v>0</v>
      </c>
      <c r="DP7" s="196"/>
    </row>
    <row r="8" spans="1:120" s="143" customFormat="1" x14ac:dyDescent="0.25">
      <c r="A8" s="218" t="s">
        <v>33</v>
      </c>
      <c r="B8" s="112">
        <v>38736</v>
      </c>
      <c r="C8" s="220"/>
      <c r="D8" s="112">
        <v>40600</v>
      </c>
      <c r="E8" s="113">
        <f>B8/D8</f>
        <v>0.95408866995073893</v>
      </c>
      <c r="F8" s="114">
        <v>23</v>
      </c>
      <c r="G8" s="115">
        <f>$B8*$G$98/$B$95</f>
        <v>31152.436214650923</v>
      </c>
      <c r="H8" s="113">
        <f t="shared" si="0"/>
        <v>0.76730138459731334</v>
      </c>
      <c r="I8" s="115">
        <v>31289</v>
      </c>
      <c r="J8" s="113">
        <f t="shared" si="1"/>
        <v>0.77066502463054187</v>
      </c>
      <c r="K8" s="115">
        <f t="shared" si="43"/>
        <v>23779.64</v>
      </c>
      <c r="L8" s="241">
        <v>299.54000000000002</v>
      </c>
      <c r="M8" s="119">
        <f t="shared" si="2"/>
        <v>7122953.3656000001</v>
      </c>
      <c r="N8" s="115">
        <f t="shared" si="3"/>
        <v>25031.200000000001</v>
      </c>
      <c r="O8" s="115">
        <f t="shared" si="44"/>
        <v>13792.191199999999</v>
      </c>
      <c r="P8" s="115">
        <f t="shared" si="45"/>
        <v>22840.97</v>
      </c>
      <c r="Q8" s="115">
        <f>D8*78%</f>
        <v>31668</v>
      </c>
      <c r="R8" s="116">
        <f t="shared" si="4"/>
        <v>0.78</v>
      </c>
      <c r="S8" s="115">
        <f t="shared" si="5"/>
        <v>24067.68</v>
      </c>
      <c r="T8" s="115">
        <f t="shared" si="6"/>
        <v>25334.400000000001</v>
      </c>
      <c r="U8" s="115">
        <f t="shared" si="46"/>
        <v>13959.2544</v>
      </c>
      <c r="V8" s="115">
        <f t="shared" si="7"/>
        <v>23117.64</v>
      </c>
      <c r="W8" s="115">
        <f t="shared" si="8"/>
        <v>1664.5748000000001</v>
      </c>
      <c r="X8" s="246">
        <v>14</v>
      </c>
      <c r="Y8" s="119">
        <f t="shared" si="9"/>
        <v>23304.047200000001</v>
      </c>
      <c r="Z8" s="112">
        <v>3371</v>
      </c>
      <c r="AA8" s="112"/>
      <c r="AB8" s="112">
        <v>7400</v>
      </c>
      <c r="AC8" s="113">
        <f t="shared" si="10"/>
        <v>0.45554054054054055</v>
      </c>
      <c r="AD8" s="114">
        <v>12</v>
      </c>
      <c r="AE8" s="115">
        <f>$Z8</f>
        <v>3371</v>
      </c>
      <c r="AF8" s="113">
        <f t="shared" si="11"/>
        <v>0.45554054054054055</v>
      </c>
      <c r="AG8" s="117">
        <f>AB8*60%</f>
        <v>4440</v>
      </c>
      <c r="AH8" s="113">
        <f t="shared" si="12"/>
        <v>0.6</v>
      </c>
      <c r="AI8" s="115">
        <f t="shared" si="47"/>
        <v>3330</v>
      </c>
      <c r="AJ8" s="250">
        <v>299.14</v>
      </c>
      <c r="AK8" s="119">
        <f t="shared" si="13"/>
        <v>996136.2</v>
      </c>
      <c r="AL8" s="115">
        <f t="shared" si="14"/>
        <v>3596.4</v>
      </c>
      <c r="AM8" s="115">
        <f t="shared" si="15"/>
        <v>2197.8000000000002</v>
      </c>
      <c r="AN8" s="115">
        <f t="shared" si="16"/>
        <v>3774</v>
      </c>
      <c r="AO8" s="117">
        <f>AB8*65%</f>
        <v>4810</v>
      </c>
      <c r="AP8" s="113">
        <f t="shared" si="18"/>
        <v>0.65</v>
      </c>
      <c r="AQ8" s="115">
        <f t="shared" si="48"/>
        <v>3607.5</v>
      </c>
      <c r="AR8" s="115">
        <f t="shared" si="49"/>
        <v>3896.1000000000004</v>
      </c>
      <c r="AS8" s="115">
        <f t="shared" si="19"/>
        <v>2453.1000000000004</v>
      </c>
      <c r="AT8" s="115">
        <f t="shared" si="20"/>
        <v>4232.8</v>
      </c>
      <c r="AU8" s="118">
        <v>3724</v>
      </c>
      <c r="AV8" s="118">
        <v>11700</v>
      </c>
      <c r="AW8" s="113">
        <f t="shared" si="21"/>
        <v>0.3182905982905983</v>
      </c>
      <c r="AX8" s="114">
        <v>18</v>
      </c>
      <c r="AY8" s="115">
        <f>AV8*32%</f>
        <v>3744</v>
      </c>
      <c r="AZ8" s="113">
        <f t="shared" si="22"/>
        <v>0.32</v>
      </c>
      <c r="BA8" s="115">
        <f>AV8*32%</f>
        <v>3744</v>
      </c>
      <c r="BB8" s="113">
        <f t="shared" si="23"/>
        <v>0.32</v>
      </c>
      <c r="BC8" s="115">
        <f t="shared" si="50"/>
        <v>2620.7999999999997</v>
      </c>
      <c r="BD8" s="247">
        <v>272.26</v>
      </c>
      <c r="BE8" s="119">
        <f t="shared" si="24"/>
        <v>713539.00799999991</v>
      </c>
      <c r="BF8" s="115">
        <f t="shared" si="51"/>
        <v>2695.68</v>
      </c>
      <c r="BG8" s="115">
        <f t="shared" si="25"/>
        <v>1808.3519999999996</v>
      </c>
      <c r="BH8" s="115">
        <f t="shared" si="26"/>
        <v>3107.52</v>
      </c>
      <c r="BI8" s="114">
        <f>AV8*34%</f>
        <v>3978.0000000000005</v>
      </c>
      <c r="BJ8" s="113">
        <f t="shared" si="27"/>
        <v>0.34</v>
      </c>
      <c r="BK8" s="115">
        <f t="shared" si="52"/>
        <v>2824.38</v>
      </c>
      <c r="BL8" s="115">
        <f t="shared" si="53"/>
        <v>2864.1600000000003</v>
      </c>
      <c r="BM8" s="115">
        <f t="shared" si="28"/>
        <v>1948.8221999999998</v>
      </c>
      <c r="BN8" s="115">
        <f t="shared" si="29"/>
        <v>3301.7400000000002</v>
      </c>
      <c r="BO8" s="114">
        <v>4</v>
      </c>
      <c r="BP8" s="114">
        <v>5</v>
      </c>
      <c r="BQ8" s="114"/>
      <c r="BR8" s="114">
        <v>2</v>
      </c>
      <c r="BS8" s="115">
        <f>17600*1.3%</f>
        <v>228.8</v>
      </c>
      <c r="BT8" s="115">
        <f>4700*0.5%</f>
        <v>23.5</v>
      </c>
      <c r="BU8" s="114">
        <v>80</v>
      </c>
      <c r="BV8" s="114"/>
      <c r="BW8" s="114">
        <v>90</v>
      </c>
      <c r="BX8" s="115">
        <f>BW8*66%</f>
        <v>59.400000000000006</v>
      </c>
      <c r="BY8" s="247">
        <v>385.36</v>
      </c>
      <c r="BZ8" s="119">
        <f t="shared" si="30"/>
        <v>22890.384000000002</v>
      </c>
      <c r="CA8" s="115">
        <f t="shared" ref="CA8:CA85" si="55">BW8*72%</f>
        <v>64.8</v>
      </c>
      <c r="CB8" s="115">
        <f t="shared" si="31"/>
        <v>40.986000000000004</v>
      </c>
      <c r="CC8" s="115">
        <f t="shared" si="32"/>
        <v>74.7</v>
      </c>
      <c r="CD8" s="114">
        <f>BW8*1.6</f>
        <v>144</v>
      </c>
      <c r="CE8" s="115">
        <f t="shared" ref="CE8:CE85" si="56">CD8*66%</f>
        <v>95.04</v>
      </c>
      <c r="CF8" s="115">
        <f t="shared" ref="CF8:CF25" si="57">CD8*72%</f>
        <v>103.67999999999999</v>
      </c>
      <c r="CG8" s="115">
        <f t="shared" si="33"/>
        <v>65.577600000000004</v>
      </c>
      <c r="CH8" s="115">
        <f t="shared" si="34"/>
        <v>119.52</v>
      </c>
      <c r="CI8" s="139">
        <v>0</v>
      </c>
      <c r="CJ8" s="140">
        <v>0</v>
      </c>
      <c r="CK8" s="139">
        <v>0</v>
      </c>
      <c r="CL8" s="139"/>
      <c r="CM8" s="139">
        <v>1440</v>
      </c>
      <c r="CN8" s="185">
        <f>CN14+CN16+CN18</f>
        <v>504828</v>
      </c>
      <c r="CO8" s="139">
        <f>SUM(CO9:CO18)</f>
        <v>323</v>
      </c>
      <c r="CP8" s="140">
        <v>2249.79</v>
      </c>
      <c r="CQ8" s="139">
        <f t="shared" si="35"/>
        <v>726682.17</v>
      </c>
      <c r="CR8" s="139">
        <v>0</v>
      </c>
      <c r="CS8" s="140">
        <v>445.51</v>
      </c>
      <c r="CT8" s="139">
        <f t="shared" si="54"/>
        <v>0</v>
      </c>
      <c r="CU8" s="139">
        <v>0</v>
      </c>
      <c r="CV8" s="140">
        <v>2249.79</v>
      </c>
      <c r="CW8" s="139">
        <f t="shared" si="36"/>
        <v>0</v>
      </c>
      <c r="CX8" s="139">
        <f>SUM(CX9:CX18)</f>
        <v>8</v>
      </c>
      <c r="CY8" s="140">
        <v>2249.79</v>
      </c>
      <c r="CZ8" s="139">
        <f t="shared" si="37"/>
        <v>17998.32</v>
      </c>
      <c r="DA8" s="139">
        <f>SUM(DA9:DA18)</f>
        <v>260</v>
      </c>
      <c r="DB8" s="140">
        <v>464.26</v>
      </c>
      <c r="DC8" s="139">
        <f t="shared" si="38"/>
        <v>120707.59999999999</v>
      </c>
      <c r="DD8" s="139">
        <f>SUM(DD9:DD18)</f>
        <v>11</v>
      </c>
      <c r="DE8" s="140">
        <v>2249.79</v>
      </c>
      <c r="DF8" s="139">
        <f t="shared" si="39"/>
        <v>24747.69</v>
      </c>
      <c r="DG8" s="139">
        <f>SUM(DG9:DG18)</f>
        <v>5</v>
      </c>
      <c r="DH8" s="140">
        <v>2249.79</v>
      </c>
      <c r="DI8" s="139">
        <f t="shared" si="40"/>
        <v>11248.95</v>
      </c>
      <c r="DJ8" s="139">
        <f>SUM(DJ9:DJ18)</f>
        <v>250</v>
      </c>
      <c r="DK8" s="139">
        <v>504.26</v>
      </c>
      <c r="DL8" s="139">
        <f t="shared" si="41"/>
        <v>126065</v>
      </c>
      <c r="DM8" s="139">
        <f>SUM(DM9:DM18)</f>
        <v>10</v>
      </c>
      <c r="DN8" s="140">
        <v>2249.79</v>
      </c>
      <c r="DO8" s="205">
        <f t="shared" si="42"/>
        <v>22497.9</v>
      </c>
      <c r="DP8" s="197"/>
    </row>
    <row r="9" spans="1:120" ht="25.5" x14ac:dyDescent="0.25">
      <c r="A9" s="17" t="s">
        <v>33</v>
      </c>
      <c r="B9" s="9"/>
      <c r="C9" s="19" t="s">
        <v>34</v>
      </c>
      <c r="D9" s="9"/>
      <c r="E9" s="10"/>
      <c r="F9" s="11"/>
      <c r="G9" s="7"/>
      <c r="H9" s="10"/>
      <c r="I9" s="7"/>
      <c r="J9" s="10"/>
      <c r="K9" s="7">
        <v>1530</v>
      </c>
      <c r="L9" s="241">
        <v>299.54000000000002</v>
      </c>
      <c r="M9" s="187">
        <f t="shared" si="2"/>
        <v>458296.2</v>
      </c>
      <c r="N9" s="7">
        <f t="shared" si="3"/>
        <v>0</v>
      </c>
      <c r="O9" s="7">
        <f t="shared" si="44"/>
        <v>887.4</v>
      </c>
      <c r="P9" s="7"/>
      <c r="Q9" s="7"/>
      <c r="R9" s="188"/>
      <c r="S9" s="7"/>
      <c r="T9" s="7"/>
      <c r="U9" s="7"/>
      <c r="V9" s="7"/>
      <c r="W9" s="7">
        <f t="shared" si="8"/>
        <v>107.10000000000001</v>
      </c>
      <c r="X9" s="247">
        <v>14</v>
      </c>
      <c r="Y9" s="187">
        <f t="shared" si="9"/>
        <v>1499.4</v>
      </c>
      <c r="Z9" s="9"/>
      <c r="AA9" s="9"/>
      <c r="AB9" s="9"/>
      <c r="AC9" s="10"/>
      <c r="AD9" s="11"/>
      <c r="AE9" s="7"/>
      <c r="AF9" s="10"/>
      <c r="AG9" s="18"/>
      <c r="AH9" s="10"/>
      <c r="AI9" s="7">
        <v>145</v>
      </c>
      <c r="AJ9" s="250">
        <v>299.14</v>
      </c>
      <c r="AK9" s="187">
        <f t="shared" si="13"/>
        <v>43375.299999999996</v>
      </c>
      <c r="AL9" s="7">
        <f t="shared" si="14"/>
        <v>0</v>
      </c>
      <c r="AM9" s="7">
        <f t="shared" si="15"/>
        <v>95.7</v>
      </c>
      <c r="AN9" s="7"/>
      <c r="AO9" s="18"/>
      <c r="AP9" s="10"/>
      <c r="AQ9" s="7"/>
      <c r="AR9" s="7"/>
      <c r="AS9" s="7"/>
      <c r="AT9" s="7"/>
      <c r="AU9" s="12"/>
      <c r="AV9" s="12"/>
      <c r="AW9" s="10"/>
      <c r="AX9" s="11"/>
      <c r="AY9" s="7"/>
      <c r="AZ9" s="10"/>
      <c r="BA9" s="7"/>
      <c r="BB9" s="10"/>
      <c r="BC9" s="7">
        <v>0</v>
      </c>
      <c r="BD9" s="247">
        <v>272.26</v>
      </c>
      <c r="BE9" s="187">
        <f t="shared" si="24"/>
        <v>0</v>
      </c>
      <c r="BF9" s="7">
        <f t="shared" si="51"/>
        <v>0</v>
      </c>
      <c r="BG9" s="7">
        <f t="shared" si="25"/>
        <v>0</v>
      </c>
      <c r="BH9" s="7"/>
      <c r="BI9" s="11"/>
      <c r="BJ9" s="10"/>
      <c r="BK9" s="7"/>
      <c r="BL9" s="7"/>
      <c r="BM9" s="7"/>
      <c r="BN9" s="7"/>
      <c r="BO9" s="11"/>
      <c r="BP9" s="11"/>
      <c r="BQ9" s="11"/>
      <c r="BR9" s="11"/>
      <c r="BS9" s="7"/>
      <c r="BT9" s="7"/>
      <c r="BU9" s="11"/>
      <c r="BV9" s="11"/>
      <c r="BW9" s="11"/>
      <c r="BX9" s="7">
        <v>0</v>
      </c>
      <c r="BY9" s="247">
        <v>0</v>
      </c>
      <c r="BZ9" s="187">
        <v>0</v>
      </c>
      <c r="CA9" s="7">
        <v>0</v>
      </c>
      <c r="CB9" s="7">
        <v>0</v>
      </c>
      <c r="CC9" s="7"/>
      <c r="CD9" s="11"/>
      <c r="CE9" s="7"/>
      <c r="CF9" s="7"/>
      <c r="CG9" s="7"/>
      <c r="CH9" s="7"/>
      <c r="CI9" s="13">
        <v>0</v>
      </c>
      <c r="CJ9" s="189">
        <v>0</v>
      </c>
      <c r="CK9" s="13">
        <v>0</v>
      </c>
      <c r="CL9" s="13"/>
      <c r="CM9" s="13">
        <v>1440</v>
      </c>
      <c r="CN9" s="14">
        <v>0</v>
      </c>
      <c r="CO9" s="13">
        <v>0</v>
      </c>
      <c r="CP9" s="189">
        <v>2249.79</v>
      </c>
      <c r="CQ9" s="13">
        <f t="shared" si="35"/>
        <v>0</v>
      </c>
      <c r="CR9" s="13">
        <v>0</v>
      </c>
      <c r="CS9" s="189">
        <v>445.51</v>
      </c>
      <c r="CT9" s="13">
        <f t="shared" si="54"/>
        <v>0</v>
      </c>
      <c r="CU9" s="13">
        <v>0</v>
      </c>
      <c r="CV9" s="189">
        <v>2249.79</v>
      </c>
      <c r="CW9" s="13">
        <f t="shared" si="36"/>
        <v>0</v>
      </c>
      <c r="CX9" s="13">
        <v>0</v>
      </c>
      <c r="CY9" s="189">
        <v>2249.79</v>
      </c>
      <c r="CZ9" s="13">
        <f t="shared" si="37"/>
        <v>0</v>
      </c>
      <c r="DA9" s="13">
        <v>0</v>
      </c>
      <c r="DB9" s="189">
        <v>464.26</v>
      </c>
      <c r="DC9" s="13">
        <f t="shared" si="38"/>
        <v>0</v>
      </c>
      <c r="DD9" s="13">
        <v>0</v>
      </c>
      <c r="DE9" s="189">
        <v>2249.79</v>
      </c>
      <c r="DF9" s="13">
        <f t="shared" si="39"/>
        <v>0</v>
      </c>
      <c r="DG9" s="13">
        <v>0</v>
      </c>
      <c r="DH9" s="189">
        <v>2249.79</v>
      </c>
      <c r="DI9" s="13">
        <f t="shared" si="40"/>
        <v>0</v>
      </c>
      <c r="DJ9" s="13">
        <v>0</v>
      </c>
      <c r="DK9" s="13">
        <v>504.26</v>
      </c>
      <c r="DL9" s="13">
        <f t="shared" si="41"/>
        <v>0</v>
      </c>
      <c r="DM9" s="13">
        <v>0</v>
      </c>
      <c r="DN9" s="189">
        <v>2249.79</v>
      </c>
      <c r="DO9" s="16">
        <f t="shared" si="42"/>
        <v>0</v>
      </c>
      <c r="DP9" s="196"/>
    </row>
    <row r="10" spans="1:120" ht="25.5" x14ac:dyDescent="0.25">
      <c r="A10" s="17" t="s">
        <v>33</v>
      </c>
      <c r="B10" s="9"/>
      <c r="C10" s="19" t="s">
        <v>35</v>
      </c>
      <c r="D10" s="9"/>
      <c r="E10" s="10"/>
      <c r="F10" s="11"/>
      <c r="G10" s="7"/>
      <c r="H10" s="10"/>
      <c r="I10" s="7"/>
      <c r="J10" s="10"/>
      <c r="K10" s="7">
        <v>3828</v>
      </c>
      <c r="L10" s="241">
        <v>299.54000000000002</v>
      </c>
      <c r="M10" s="187">
        <f t="shared" si="2"/>
        <v>1146639.1200000001</v>
      </c>
      <c r="N10" s="7">
        <f t="shared" si="3"/>
        <v>0</v>
      </c>
      <c r="O10" s="7">
        <f t="shared" si="44"/>
        <v>2220.2399999999998</v>
      </c>
      <c r="P10" s="7"/>
      <c r="Q10" s="7"/>
      <c r="R10" s="188"/>
      <c r="S10" s="7"/>
      <c r="T10" s="7"/>
      <c r="U10" s="7"/>
      <c r="V10" s="7"/>
      <c r="W10" s="7">
        <f t="shared" si="8"/>
        <v>267.96000000000004</v>
      </c>
      <c r="X10" s="247">
        <v>14</v>
      </c>
      <c r="Y10" s="187">
        <f t="shared" si="9"/>
        <v>3751.4400000000005</v>
      </c>
      <c r="Z10" s="9"/>
      <c r="AA10" s="9"/>
      <c r="AB10" s="9"/>
      <c r="AC10" s="10"/>
      <c r="AD10" s="11"/>
      <c r="AE10" s="7"/>
      <c r="AF10" s="10"/>
      <c r="AG10" s="18"/>
      <c r="AH10" s="10"/>
      <c r="AI10" s="7">
        <v>292</v>
      </c>
      <c r="AJ10" s="250">
        <v>299.14</v>
      </c>
      <c r="AK10" s="187">
        <f t="shared" si="13"/>
        <v>87348.87999999999</v>
      </c>
      <c r="AL10" s="7">
        <f t="shared" si="14"/>
        <v>0</v>
      </c>
      <c r="AM10" s="7">
        <f t="shared" si="15"/>
        <v>192.72</v>
      </c>
      <c r="AN10" s="7"/>
      <c r="AO10" s="18"/>
      <c r="AP10" s="10"/>
      <c r="AQ10" s="7"/>
      <c r="AR10" s="7"/>
      <c r="AS10" s="7"/>
      <c r="AT10" s="7"/>
      <c r="AU10" s="12"/>
      <c r="AV10" s="12"/>
      <c r="AW10" s="10"/>
      <c r="AX10" s="11"/>
      <c r="AY10" s="7"/>
      <c r="AZ10" s="10"/>
      <c r="BA10" s="7"/>
      <c r="BB10" s="10"/>
      <c r="BC10" s="7">
        <v>0</v>
      </c>
      <c r="BD10" s="247">
        <v>272.26</v>
      </c>
      <c r="BE10" s="187">
        <f t="shared" si="24"/>
        <v>0</v>
      </c>
      <c r="BF10" s="7">
        <f t="shared" si="51"/>
        <v>0</v>
      </c>
      <c r="BG10" s="7">
        <f t="shared" si="25"/>
        <v>0</v>
      </c>
      <c r="BH10" s="7"/>
      <c r="BI10" s="11"/>
      <c r="BJ10" s="10"/>
      <c r="BK10" s="7"/>
      <c r="BL10" s="7"/>
      <c r="BM10" s="7"/>
      <c r="BN10" s="7"/>
      <c r="BO10" s="11"/>
      <c r="BP10" s="11"/>
      <c r="BQ10" s="11"/>
      <c r="BR10" s="11"/>
      <c r="BS10" s="7"/>
      <c r="BT10" s="7"/>
      <c r="BU10" s="11"/>
      <c r="BV10" s="11"/>
      <c r="BW10" s="11"/>
      <c r="BX10" s="7">
        <v>0</v>
      </c>
      <c r="BY10" s="247">
        <v>0</v>
      </c>
      <c r="BZ10" s="187">
        <v>0</v>
      </c>
      <c r="CA10" s="7">
        <v>0</v>
      </c>
      <c r="CB10" s="7">
        <v>0</v>
      </c>
      <c r="CC10" s="7"/>
      <c r="CD10" s="11"/>
      <c r="CE10" s="7"/>
      <c r="CF10" s="7"/>
      <c r="CG10" s="7"/>
      <c r="CH10" s="7"/>
      <c r="CI10" s="13">
        <v>0</v>
      </c>
      <c r="CJ10" s="189">
        <v>0</v>
      </c>
      <c r="CK10" s="13">
        <v>0</v>
      </c>
      <c r="CL10" s="13"/>
      <c r="CM10" s="13">
        <v>1440</v>
      </c>
      <c r="CN10" s="14">
        <v>0</v>
      </c>
      <c r="CO10" s="13">
        <v>55</v>
      </c>
      <c r="CP10" s="189">
        <v>2249.79</v>
      </c>
      <c r="CQ10" s="13">
        <f t="shared" si="35"/>
        <v>123738.45</v>
      </c>
      <c r="CR10" s="13">
        <v>0</v>
      </c>
      <c r="CS10" s="189">
        <v>445.51</v>
      </c>
      <c r="CT10" s="13">
        <f t="shared" si="54"/>
        <v>0</v>
      </c>
      <c r="CU10" s="13">
        <v>0</v>
      </c>
      <c r="CV10" s="189">
        <v>2249.79</v>
      </c>
      <c r="CW10" s="13">
        <f t="shared" si="36"/>
        <v>0</v>
      </c>
      <c r="CX10" s="13">
        <v>0</v>
      </c>
      <c r="CY10" s="189">
        <v>2249.79</v>
      </c>
      <c r="CZ10" s="13">
        <f t="shared" si="37"/>
        <v>0</v>
      </c>
      <c r="DA10" s="13">
        <v>0</v>
      </c>
      <c r="DB10" s="189">
        <v>464.26</v>
      </c>
      <c r="DC10" s="13">
        <f t="shared" si="38"/>
        <v>0</v>
      </c>
      <c r="DD10" s="13">
        <v>0</v>
      </c>
      <c r="DE10" s="189">
        <v>2249.79</v>
      </c>
      <c r="DF10" s="13">
        <f t="shared" si="39"/>
        <v>0</v>
      </c>
      <c r="DG10" s="13">
        <v>0</v>
      </c>
      <c r="DH10" s="189">
        <v>2249.79</v>
      </c>
      <c r="DI10" s="13">
        <f t="shared" si="40"/>
        <v>0</v>
      </c>
      <c r="DJ10" s="13">
        <v>0</v>
      </c>
      <c r="DK10" s="13">
        <v>504.26</v>
      </c>
      <c r="DL10" s="13">
        <f t="shared" si="41"/>
        <v>0</v>
      </c>
      <c r="DM10" s="13">
        <v>0</v>
      </c>
      <c r="DN10" s="189">
        <v>2249.79</v>
      </c>
      <c r="DO10" s="16">
        <f t="shared" si="42"/>
        <v>0</v>
      </c>
      <c r="DP10" s="196"/>
    </row>
    <row r="11" spans="1:120" ht="25.5" x14ac:dyDescent="0.25">
      <c r="A11" s="17" t="s">
        <v>33</v>
      </c>
      <c r="B11" s="9"/>
      <c r="C11" s="19" t="s">
        <v>36</v>
      </c>
      <c r="D11" s="9"/>
      <c r="E11" s="10"/>
      <c r="F11" s="11"/>
      <c r="G11" s="7"/>
      <c r="H11" s="10"/>
      <c r="I11" s="7"/>
      <c r="J11" s="10"/>
      <c r="K11" s="7">
        <v>1378</v>
      </c>
      <c r="L11" s="241">
        <v>299.54000000000002</v>
      </c>
      <c r="M11" s="187">
        <f t="shared" si="2"/>
        <v>412766.12000000005</v>
      </c>
      <c r="N11" s="7">
        <f t="shared" si="3"/>
        <v>0</v>
      </c>
      <c r="O11" s="7">
        <f t="shared" si="44"/>
        <v>799.2399999999999</v>
      </c>
      <c r="P11" s="7"/>
      <c r="Q11" s="7"/>
      <c r="R11" s="188"/>
      <c r="S11" s="7"/>
      <c r="T11" s="7"/>
      <c r="U11" s="7"/>
      <c r="V11" s="7"/>
      <c r="W11" s="7">
        <f t="shared" si="8"/>
        <v>96.460000000000008</v>
      </c>
      <c r="X11" s="247">
        <v>14</v>
      </c>
      <c r="Y11" s="187">
        <f t="shared" si="9"/>
        <v>1350.44</v>
      </c>
      <c r="Z11" s="9"/>
      <c r="AA11" s="9"/>
      <c r="AB11" s="9"/>
      <c r="AC11" s="10"/>
      <c r="AD11" s="11"/>
      <c r="AE11" s="7"/>
      <c r="AF11" s="10"/>
      <c r="AG11" s="18"/>
      <c r="AH11" s="10"/>
      <c r="AI11" s="7">
        <v>0</v>
      </c>
      <c r="AJ11" s="250">
        <v>299.14</v>
      </c>
      <c r="AK11" s="187">
        <f t="shared" si="13"/>
        <v>0</v>
      </c>
      <c r="AL11" s="7">
        <f t="shared" si="14"/>
        <v>0</v>
      </c>
      <c r="AM11" s="7">
        <f t="shared" si="15"/>
        <v>0</v>
      </c>
      <c r="AN11" s="7"/>
      <c r="AO11" s="18"/>
      <c r="AP11" s="10"/>
      <c r="AQ11" s="7"/>
      <c r="AR11" s="7"/>
      <c r="AS11" s="7"/>
      <c r="AT11" s="7"/>
      <c r="AU11" s="12"/>
      <c r="AV11" s="12"/>
      <c r="AW11" s="10"/>
      <c r="AX11" s="11"/>
      <c r="AY11" s="7"/>
      <c r="AZ11" s="10"/>
      <c r="BA11" s="7"/>
      <c r="BB11" s="10"/>
      <c r="BC11" s="7">
        <v>0</v>
      </c>
      <c r="BD11" s="247">
        <v>272.26</v>
      </c>
      <c r="BE11" s="187">
        <f t="shared" si="24"/>
        <v>0</v>
      </c>
      <c r="BF11" s="7">
        <f t="shared" si="51"/>
        <v>0</v>
      </c>
      <c r="BG11" s="7">
        <f t="shared" si="25"/>
        <v>0</v>
      </c>
      <c r="BH11" s="7"/>
      <c r="BI11" s="11"/>
      <c r="BJ11" s="10"/>
      <c r="BK11" s="7"/>
      <c r="BL11" s="7"/>
      <c r="BM11" s="7"/>
      <c r="BN11" s="7"/>
      <c r="BO11" s="11"/>
      <c r="BP11" s="11"/>
      <c r="BQ11" s="11"/>
      <c r="BR11" s="11"/>
      <c r="BS11" s="7"/>
      <c r="BT11" s="7"/>
      <c r="BU11" s="11"/>
      <c r="BV11" s="11"/>
      <c r="BW11" s="11"/>
      <c r="BX11" s="7">
        <v>0</v>
      </c>
      <c r="BY11" s="247">
        <v>0</v>
      </c>
      <c r="BZ11" s="187">
        <v>0</v>
      </c>
      <c r="CA11" s="7">
        <v>0</v>
      </c>
      <c r="CB11" s="7">
        <v>0</v>
      </c>
      <c r="CC11" s="7"/>
      <c r="CD11" s="11"/>
      <c r="CE11" s="7"/>
      <c r="CF11" s="7"/>
      <c r="CG11" s="7"/>
      <c r="CH11" s="7"/>
      <c r="CI11" s="13">
        <v>0</v>
      </c>
      <c r="CJ11" s="189">
        <v>0</v>
      </c>
      <c r="CK11" s="13">
        <v>0</v>
      </c>
      <c r="CL11" s="13"/>
      <c r="CM11" s="13">
        <v>1440</v>
      </c>
      <c r="CN11" s="14">
        <v>0</v>
      </c>
      <c r="CO11" s="13">
        <v>0</v>
      </c>
      <c r="CP11" s="189">
        <v>2249.79</v>
      </c>
      <c r="CQ11" s="13">
        <f t="shared" si="35"/>
        <v>0</v>
      </c>
      <c r="CR11" s="13">
        <v>0</v>
      </c>
      <c r="CS11" s="189">
        <v>445.51</v>
      </c>
      <c r="CT11" s="13">
        <f t="shared" si="54"/>
        <v>0</v>
      </c>
      <c r="CU11" s="13">
        <v>0</v>
      </c>
      <c r="CV11" s="189">
        <v>2249.79</v>
      </c>
      <c r="CW11" s="13">
        <f t="shared" si="36"/>
        <v>0</v>
      </c>
      <c r="CX11" s="13">
        <v>0</v>
      </c>
      <c r="CY11" s="189">
        <v>2249.79</v>
      </c>
      <c r="CZ11" s="13">
        <f t="shared" si="37"/>
        <v>0</v>
      </c>
      <c r="DA11" s="13">
        <v>0</v>
      </c>
      <c r="DB11" s="189">
        <v>464.26</v>
      </c>
      <c r="DC11" s="13">
        <f t="shared" si="38"/>
        <v>0</v>
      </c>
      <c r="DD11" s="13">
        <v>0</v>
      </c>
      <c r="DE11" s="189">
        <v>2249.79</v>
      </c>
      <c r="DF11" s="13">
        <f t="shared" si="39"/>
        <v>0</v>
      </c>
      <c r="DG11" s="13">
        <v>0</v>
      </c>
      <c r="DH11" s="189">
        <v>2249.79</v>
      </c>
      <c r="DI11" s="13">
        <f t="shared" si="40"/>
        <v>0</v>
      </c>
      <c r="DJ11" s="13">
        <v>0</v>
      </c>
      <c r="DK11" s="13">
        <v>504.26</v>
      </c>
      <c r="DL11" s="13">
        <f t="shared" si="41"/>
        <v>0</v>
      </c>
      <c r="DM11" s="13">
        <v>0</v>
      </c>
      <c r="DN11" s="189">
        <v>2249.79</v>
      </c>
      <c r="DO11" s="16">
        <f t="shared" si="42"/>
        <v>0</v>
      </c>
      <c r="DP11" s="196"/>
    </row>
    <row r="12" spans="1:120" ht="38.25" x14ac:dyDescent="0.25">
      <c r="A12" s="17" t="s">
        <v>33</v>
      </c>
      <c r="B12" s="9"/>
      <c r="C12" s="19" t="s">
        <v>37</v>
      </c>
      <c r="D12" s="9"/>
      <c r="E12" s="10"/>
      <c r="F12" s="11"/>
      <c r="G12" s="7"/>
      <c r="H12" s="10"/>
      <c r="I12" s="7"/>
      <c r="J12" s="10"/>
      <c r="K12" s="7">
        <v>2297</v>
      </c>
      <c r="L12" s="241">
        <v>299.54000000000002</v>
      </c>
      <c r="M12" s="187">
        <f t="shared" si="2"/>
        <v>688043.38</v>
      </c>
      <c r="N12" s="7">
        <f t="shared" si="3"/>
        <v>0</v>
      </c>
      <c r="O12" s="7">
        <f t="shared" si="44"/>
        <v>1332.26</v>
      </c>
      <c r="P12" s="7"/>
      <c r="Q12" s="7"/>
      <c r="R12" s="188"/>
      <c r="S12" s="7"/>
      <c r="T12" s="7"/>
      <c r="U12" s="7"/>
      <c r="V12" s="7"/>
      <c r="W12" s="7">
        <f t="shared" si="8"/>
        <v>160.79000000000002</v>
      </c>
      <c r="X12" s="247">
        <v>14</v>
      </c>
      <c r="Y12" s="187">
        <f t="shared" si="9"/>
        <v>2251.0600000000004</v>
      </c>
      <c r="Z12" s="9"/>
      <c r="AA12" s="9"/>
      <c r="AB12" s="9"/>
      <c r="AC12" s="10"/>
      <c r="AD12" s="11"/>
      <c r="AE12" s="7"/>
      <c r="AF12" s="10"/>
      <c r="AG12" s="18"/>
      <c r="AH12" s="10"/>
      <c r="AI12" s="7">
        <v>0</v>
      </c>
      <c r="AJ12" s="250">
        <v>299.14</v>
      </c>
      <c r="AK12" s="187">
        <f t="shared" si="13"/>
        <v>0</v>
      </c>
      <c r="AL12" s="7">
        <f t="shared" si="14"/>
        <v>0</v>
      </c>
      <c r="AM12" s="7">
        <f t="shared" si="15"/>
        <v>0</v>
      </c>
      <c r="AN12" s="7"/>
      <c r="AO12" s="18"/>
      <c r="AP12" s="10"/>
      <c r="AQ12" s="7"/>
      <c r="AR12" s="7"/>
      <c r="AS12" s="7"/>
      <c r="AT12" s="7"/>
      <c r="AU12" s="12"/>
      <c r="AV12" s="12"/>
      <c r="AW12" s="10"/>
      <c r="AX12" s="11"/>
      <c r="AY12" s="7"/>
      <c r="AZ12" s="10"/>
      <c r="BA12" s="7"/>
      <c r="BB12" s="10"/>
      <c r="BC12" s="7">
        <v>0</v>
      </c>
      <c r="BD12" s="247">
        <v>272.26</v>
      </c>
      <c r="BE12" s="187">
        <f t="shared" si="24"/>
        <v>0</v>
      </c>
      <c r="BF12" s="7">
        <f t="shared" si="51"/>
        <v>0</v>
      </c>
      <c r="BG12" s="7">
        <f t="shared" si="25"/>
        <v>0</v>
      </c>
      <c r="BH12" s="7"/>
      <c r="BI12" s="11"/>
      <c r="BJ12" s="10"/>
      <c r="BK12" s="7"/>
      <c r="BL12" s="7"/>
      <c r="BM12" s="7"/>
      <c r="BN12" s="7"/>
      <c r="BO12" s="11"/>
      <c r="BP12" s="11"/>
      <c r="BQ12" s="11"/>
      <c r="BR12" s="11"/>
      <c r="BS12" s="7"/>
      <c r="BT12" s="7"/>
      <c r="BU12" s="11"/>
      <c r="BV12" s="11"/>
      <c r="BW12" s="11"/>
      <c r="BX12" s="7">
        <v>0</v>
      </c>
      <c r="BY12" s="247">
        <v>0</v>
      </c>
      <c r="BZ12" s="187">
        <v>0</v>
      </c>
      <c r="CA12" s="7">
        <v>0</v>
      </c>
      <c r="CB12" s="7">
        <v>0</v>
      </c>
      <c r="CC12" s="7"/>
      <c r="CD12" s="11"/>
      <c r="CE12" s="7"/>
      <c r="CF12" s="7"/>
      <c r="CG12" s="7"/>
      <c r="CH12" s="7"/>
      <c r="CI12" s="13">
        <v>0</v>
      </c>
      <c r="CJ12" s="189">
        <v>0</v>
      </c>
      <c r="CK12" s="13">
        <v>0</v>
      </c>
      <c r="CL12" s="13"/>
      <c r="CM12" s="13">
        <v>1440</v>
      </c>
      <c r="CN12" s="14">
        <v>0</v>
      </c>
      <c r="CO12" s="13">
        <v>45</v>
      </c>
      <c r="CP12" s="189">
        <v>2249.79</v>
      </c>
      <c r="CQ12" s="13">
        <f t="shared" si="35"/>
        <v>101240.55</v>
      </c>
      <c r="CR12" s="13">
        <v>0</v>
      </c>
      <c r="CS12" s="189">
        <v>445.51</v>
      </c>
      <c r="CT12" s="13">
        <f t="shared" si="54"/>
        <v>0</v>
      </c>
      <c r="CU12" s="13">
        <v>0</v>
      </c>
      <c r="CV12" s="189">
        <v>2249.79</v>
      </c>
      <c r="CW12" s="13">
        <f t="shared" si="36"/>
        <v>0</v>
      </c>
      <c r="CX12" s="13">
        <v>0</v>
      </c>
      <c r="CY12" s="189">
        <v>2249.79</v>
      </c>
      <c r="CZ12" s="13">
        <f t="shared" si="37"/>
        <v>0</v>
      </c>
      <c r="DA12" s="13">
        <v>0</v>
      </c>
      <c r="DB12" s="189">
        <v>464.26</v>
      </c>
      <c r="DC12" s="13">
        <f t="shared" si="38"/>
        <v>0</v>
      </c>
      <c r="DD12" s="13">
        <v>0</v>
      </c>
      <c r="DE12" s="189">
        <v>2249.79</v>
      </c>
      <c r="DF12" s="13">
        <f t="shared" si="39"/>
        <v>0</v>
      </c>
      <c r="DG12" s="13">
        <v>0</v>
      </c>
      <c r="DH12" s="189">
        <v>2249.79</v>
      </c>
      <c r="DI12" s="13">
        <f t="shared" si="40"/>
        <v>0</v>
      </c>
      <c r="DJ12" s="13">
        <v>0</v>
      </c>
      <c r="DK12" s="13">
        <v>504.26</v>
      </c>
      <c r="DL12" s="13">
        <f t="shared" si="41"/>
        <v>0</v>
      </c>
      <c r="DM12" s="13">
        <v>0</v>
      </c>
      <c r="DN12" s="189">
        <v>2249.79</v>
      </c>
      <c r="DO12" s="16">
        <f t="shared" si="42"/>
        <v>0</v>
      </c>
      <c r="DP12" s="196"/>
    </row>
    <row r="13" spans="1:120" ht="38.25" x14ac:dyDescent="0.25">
      <c r="A13" s="17" t="s">
        <v>33</v>
      </c>
      <c r="B13" s="9"/>
      <c r="C13" s="19" t="s">
        <v>38</v>
      </c>
      <c r="D13" s="9"/>
      <c r="E13" s="10"/>
      <c r="F13" s="11"/>
      <c r="G13" s="7"/>
      <c r="H13" s="10"/>
      <c r="I13" s="7"/>
      <c r="J13" s="10"/>
      <c r="K13" s="7">
        <v>2297</v>
      </c>
      <c r="L13" s="241">
        <v>299.54000000000002</v>
      </c>
      <c r="M13" s="187">
        <f t="shared" si="2"/>
        <v>688043.38</v>
      </c>
      <c r="N13" s="7">
        <f t="shared" si="3"/>
        <v>0</v>
      </c>
      <c r="O13" s="7">
        <f t="shared" si="44"/>
        <v>1332.26</v>
      </c>
      <c r="P13" s="7"/>
      <c r="Q13" s="7"/>
      <c r="R13" s="188"/>
      <c r="S13" s="7"/>
      <c r="T13" s="7"/>
      <c r="U13" s="7"/>
      <c r="V13" s="7"/>
      <c r="W13" s="7">
        <f t="shared" si="8"/>
        <v>160.79000000000002</v>
      </c>
      <c r="X13" s="247">
        <v>14</v>
      </c>
      <c r="Y13" s="187">
        <f t="shared" si="9"/>
        <v>2251.0600000000004</v>
      </c>
      <c r="Z13" s="9"/>
      <c r="AA13" s="9"/>
      <c r="AB13" s="9"/>
      <c r="AC13" s="10"/>
      <c r="AD13" s="11"/>
      <c r="AE13" s="7"/>
      <c r="AF13" s="10"/>
      <c r="AG13" s="18"/>
      <c r="AH13" s="10"/>
      <c r="AI13" s="7">
        <v>0</v>
      </c>
      <c r="AJ13" s="250">
        <v>299.14</v>
      </c>
      <c r="AK13" s="187">
        <f t="shared" si="13"/>
        <v>0</v>
      </c>
      <c r="AL13" s="7">
        <f t="shared" si="14"/>
        <v>0</v>
      </c>
      <c r="AM13" s="7">
        <f t="shared" si="15"/>
        <v>0</v>
      </c>
      <c r="AN13" s="7"/>
      <c r="AO13" s="18"/>
      <c r="AP13" s="10"/>
      <c r="AQ13" s="7"/>
      <c r="AR13" s="7"/>
      <c r="AS13" s="7"/>
      <c r="AT13" s="7"/>
      <c r="AU13" s="12"/>
      <c r="AV13" s="12"/>
      <c r="AW13" s="10"/>
      <c r="AX13" s="11"/>
      <c r="AY13" s="7"/>
      <c r="AZ13" s="10"/>
      <c r="BA13" s="7"/>
      <c r="BB13" s="10"/>
      <c r="BC13" s="7">
        <v>0</v>
      </c>
      <c r="BD13" s="247">
        <v>272.26</v>
      </c>
      <c r="BE13" s="187">
        <f t="shared" si="24"/>
        <v>0</v>
      </c>
      <c r="BF13" s="7">
        <f t="shared" si="51"/>
        <v>0</v>
      </c>
      <c r="BG13" s="7">
        <f t="shared" si="25"/>
        <v>0</v>
      </c>
      <c r="BH13" s="7"/>
      <c r="BI13" s="11"/>
      <c r="BJ13" s="10"/>
      <c r="BK13" s="7"/>
      <c r="BL13" s="7"/>
      <c r="BM13" s="7"/>
      <c r="BN13" s="7"/>
      <c r="BO13" s="11"/>
      <c r="BP13" s="11"/>
      <c r="BQ13" s="11"/>
      <c r="BR13" s="11"/>
      <c r="BS13" s="7"/>
      <c r="BT13" s="7"/>
      <c r="BU13" s="11"/>
      <c r="BV13" s="11"/>
      <c r="BW13" s="11"/>
      <c r="BX13" s="7">
        <v>0</v>
      </c>
      <c r="BY13" s="247">
        <v>0</v>
      </c>
      <c r="BZ13" s="187">
        <v>0</v>
      </c>
      <c r="CA13" s="7">
        <v>0</v>
      </c>
      <c r="CB13" s="7">
        <v>0</v>
      </c>
      <c r="CC13" s="7"/>
      <c r="CD13" s="11"/>
      <c r="CE13" s="7"/>
      <c r="CF13" s="7"/>
      <c r="CG13" s="7"/>
      <c r="CH13" s="7"/>
      <c r="CI13" s="13">
        <v>0</v>
      </c>
      <c r="CJ13" s="189">
        <v>0</v>
      </c>
      <c r="CK13" s="13">
        <v>0</v>
      </c>
      <c r="CL13" s="13"/>
      <c r="CM13" s="13">
        <v>1440</v>
      </c>
      <c r="CN13" s="14">
        <v>0</v>
      </c>
      <c r="CO13" s="13">
        <v>31</v>
      </c>
      <c r="CP13" s="189">
        <v>2249.79</v>
      </c>
      <c r="CQ13" s="13">
        <f t="shared" si="35"/>
        <v>69743.490000000005</v>
      </c>
      <c r="CR13" s="13">
        <v>0</v>
      </c>
      <c r="CS13" s="189">
        <v>445.51</v>
      </c>
      <c r="CT13" s="13">
        <f t="shared" si="54"/>
        <v>0</v>
      </c>
      <c r="CU13" s="13">
        <v>0</v>
      </c>
      <c r="CV13" s="189">
        <v>2249.79</v>
      </c>
      <c r="CW13" s="13">
        <f t="shared" si="36"/>
        <v>0</v>
      </c>
      <c r="CX13" s="13">
        <v>0</v>
      </c>
      <c r="CY13" s="189">
        <v>2249.79</v>
      </c>
      <c r="CZ13" s="13">
        <f t="shared" si="37"/>
        <v>0</v>
      </c>
      <c r="DA13" s="13">
        <v>0</v>
      </c>
      <c r="DB13" s="189">
        <v>464.26</v>
      </c>
      <c r="DC13" s="13">
        <f t="shared" si="38"/>
        <v>0</v>
      </c>
      <c r="DD13" s="13">
        <v>0</v>
      </c>
      <c r="DE13" s="189">
        <v>2249.79</v>
      </c>
      <c r="DF13" s="13">
        <f t="shared" si="39"/>
        <v>0</v>
      </c>
      <c r="DG13" s="13">
        <v>0</v>
      </c>
      <c r="DH13" s="189">
        <v>2249.79</v>
      </c>
      <c r="DI13" s="13">
        <f t="shared" si="40"/>
        <v>0</v>
      </c>
      <c r="DJ13" s="13">
        <v>0</v>
      </c>
      <c r="DK13" s="13">
        <v>504.26</v>
      </c>
      <c r="DL13" s="13">
        <f t="shared" si="41"/>
        <v>0</v>
      </c>
      <c r="DM13" s="13">
        <v>0</v>
      </c>
      <c r="DN13" s="189">
        <v>2249.79</v>
      </c>
      <c r="DO13" s="16">
        <f t="shared" si="42"/>
        <v>0</v>
      </c>
      <c r="DP13" s="196"/>
    </row>
    <row r="14" spans="1:120" ht="38.25" x14ac:dyDescent="0.25">
      <c r="A14" s="17" t="s">
        <v>33</v>
      </c>
      <c r="B14" s="9"/>
      <c r="C14" s="19" t="s">
        <v>39</v>
      </c>
      <c r="D14" s="9"/>
      <c r="E14" s="10"/>
      <c r="F14" s="11"/>
      <c r="G14" s="7"/>
      <c r="H14" s="10"/>
      <c r="I14" s="7"/>
      <c r="J14" s="10"/>
      <c r="K14" s="7">
        <v>2297</v>
      </c>
      <c r="L14" s="241">
        <v>299.54000000000002</v>
      </c>
      <c r="M14" s="187">
        <f t="shared" si="2"/>
        <v>688043.38</v>
      </c>
      <c r="N14" s="7">
        <f t="shared" si="3"/>
        <v>0</v>
      </c>
      <c r="O14" s="7">
        <f t="shared" si="44"/>
        <v>1332.26</v>
      </c>
      <c r="P14" s="7"/>
      <c r="Q14" s="7"/>
      <c r="R14" s="188"/>
      <c r="S14" s="7"/>
      <c r="T14" s="7"/>
      <c r="U14" s="7"/>
      <c r="V14" s="7"/>
      <c r="W14" s="7">
        <f t="shared" si="8"/>
        <v>160.79000000000002</v>
      </c>
      <c r="X14" s="247">
        <v>14</v>
      </c>
      <c r="Y14" s="187">
        <f t="shared" si="9"/>
        <v>2251.0600000000004</v>
      </c>
      <c r="Z14" s="9"/>
      <c r="AA14" s="9"/>
      <c r="AB14" s="9"/>
      <c r="AC14" s="10"/>
      <c r="AD14" s="11"/>
      <c r="AE14" s="7"/>
      <c r="AF14" s="10"/>
      <c r="AG14" s="18"/>
      <c r="AH14" s="10"/>
      <c r="AI14" s="7">
        <v>118</v>
      </c>
      <c r="AJ14" s="250">
        <v>299.14</v>
      </c>
      <c r="AK14" s="187">
        <f t="shared" si="13"/>
        <v>35298.519999999997</v>
      </c>
      <c r="AL14" s="7">
        <f t="shared" si="14"/>
        <v>0</v>
      </c>
      <c r="AM14" s="7">
        <f t="shared" si="15"/>
        <v>77.88000000000001</v>
      </c>
      <c r="AN14" s="7"/>
      <c r="AO14" s="18"/>
      <c r="AP14" s="10"/>
      <c r="AQ14" s="7"/>
      <c r="AR14" s="7"/>
      <c r="AS14" s="7"/>
      <c r="AT14" s="7"/>
      <c r="AU14" s="12"/>
      <c r="AV14" s="12"/>
      <c r="AW14" s="10"/>
      <c r="AX14" s="11"/>
      <c r="AY14" s="7"/>
      <c r="AZ14" s="10"/>
      <c r="BA14" s="7"/>
      <c r="BB14" s="10"/>
      <c r="BC14" s="7">
        <v>0</v>
      </c>
      <c r="BD14" s="247">
        <v>272.26</v>
      </c>
      <c r="BE14" s="187">
        <f t="shared" si="24"/>
        <v>0</v>
      </c>
      <c r="BF14" s="7">
        <f t="shared" si="51"/>
        <v>0</v>
      </c>
      <c r="BG14" s="7">
        <f t="shared" si="25"/>
        <v>0</v>
      </c>
      <c r="BH14" s="7"/>
      <c r="BI14" s="11"/>
      <c r="BJ14" s="10"/>
      <c r="BK14" s="7"/>
      <c r="BL14" s="7"/>
      <c r="BM14" s="7"/>
      <c r="BN14" s="7"/>
      <c r="BO14" s="11"/>
      <c r="BP14" s="11"/>
      <c r="BQ14" s="11"/>
      <c r="BR14" s="11"/>
      <c r="BS14" s="7"/>
      <c r="BT14" s="7"/>
      <c r="BU14" s="11"/>
      <c r="BV14" s="11"/>
      <c r="BW14" s="11"/>
      <c r="BX14" s="7">
        <v>0</v>
      </c>
      <c r="BY14" s="247">
        <v>0</v>
      </c>
      <c r="BZ14" s="187">
        <v>0</v>
      </c>
      <c r="CA14" s="7">
        <v>0</v>
      </c>
      <c r="CB14" s="7">
        <v>0</v>
      </c>
      <c r="CC14" s="7"/>
      <c r="CD14" s="11"/>
      <c r="CE14" s="7"/>
      <c r="CF14" s="7"/>
      <c r="CG14" s="7"/>
      <c r="CH14" s="7"/>
      <c r="CI14" s="13">
        <v>0</v>
      </c>
      <c r="CJ14" s="189">
        <v>0</v>
      </c>
      <c r="CK14" s="13">
        <v>0</v>
      </c>
      <c r="CL14" s="13" t="s">
        <v>136</v>
      </c>
      <c r="CM14" s="13">
        <v>1440</v>
      </c>
      <c r="CN14" s="14">
        <v>177116</v>
      </c>
      <c r="CO14" s="13">
        <v>0</v>
      </c>
      <c r="CP14" s="189">
        <v>2249.79</v>
      </c>
      <c r="CQ14" s="13">
        <f t="shared" si="35"/>
        <v>0</v>
      </c>
      <c r="CR14" s="13">
        <v>0</v>
      </c>
      <c r="CS14" s="189">
        <v>445.51</v>
      </c>
      <c r="CT14" s="13">
        <f t="shared" si="54"/>
        <v>0</v>
      </c>
      <c r="CU14" s="13">
        <v>0</v>
      </c>
      <c r="CV14" s="189">
        <v>2249.79</v>
      </c>
      <c r="CW14" s="13">
        <f t="shared" si="36"/>
        <v>0</v>
      </c>
      <c r="CX14" s="13">
        <v>0</v>
      </c>
      <c r="CY14" s="189">
        <v>2249.79</v>
      </c>
      <c r="CZ14" s="13">
        <f t="shared" si="37"/>
        <v>0</v>
      </c>
      <c r="DA14" s="13">
        <v>0</v>
      </c>
      <c r="DB14" s="189">
        <v>464.26</v>
      </c>
      <c r="DC14" s="13">
        <f t="shared" si="38"/>
        <v>0</v>
      </c>
      <c r="DD14" s="13">
        <v>0</v>
      </c>
      <c r="DE14" s="189">
        <v>2249.79</v>
      </c>
      <c r="DF14" s="13">
        <f t="shared" si="39"/>
        <v>0</v>
      </c>
      <c r="DG14" s="13">
        <v>0</v>
      </c>
      <c r="DH14" s="189">
        <v>2249.79</v>
      </c>
      <c r="DI14" s="13">
        <f t="shared" si="40"/>
        <v>0</v>
      </c>
      <c r="DJ14" s="13">
        <v>0</v>
      </c>
      <c r="DK14" s="13">
        <v>504.26</v>
      </c>
      <c r="DL14" s="13">
        <f t="shared" si="41"/>
        <v>0</v>
      </c>
      <c r="DM14" s="13">
        <v>0</v>
      </c>
      <c r="DN14" s="189">
        <v>2249.79</v>
      </c>
      <c r="DO14" s="16">
        <f t="shared" si="42"/>
        <v>0</v>
      </c>
      <c r="DP14" s="196"/>
    </row>
    <row r="15" spans="1:120" ht="25.5" x14ac:dyDescent="0.25">
      <c r="A15" s="17" t="s">
        <v>33</v>
      </c>
      <c r="B15" s="9"/>
      <c r="C15" s="19" t="s">
        <v>40</v>
      </c>
      <c r="D15" s="9"/>
      <c r="E15" s="10"/>
      <c r="F15" s="11"/>
      <c r="G15" s="7"/>
      <c r="H15" s="10"/>
      <c r="I15" s="7"/>
      <c r="J15" s="10"/>
      <c r="K15" s="7">
        <v>0</v>
      </c>
      <c r="L15" s="241">
        <v>299.54000000000002</v>
      </c>
      <c r="M15" s="187">
        <f t="shared" si="2"/>
        <v>0</v>
      </c>
      <c r="N15" s="7">
        <f t="shared" si="3"/>
        <v>0</v>
      </c>
      <c r="O15" s="7">
        <f t="shared" si="44"/>
        <v>0</v>
      </c>
      <c r="P15" s="7"/>
      <c r="Q15" s="7"/>
      <c r="R15" s="188"/>
      <c r="S15" s="7"/>
      <c r="T15" s="7"/>
      <c r="U15" s="7"/>
      <c r="V15" s="7"/>
      <c r="W15" s="7">
        <f t="shared" si="8"/>
        <v>0</v>
      </c>
      <c r="X15" s="247">
        <v>14</v>
      </c>
      <c r="Y15" s="187">
        <f t="shared" si="9"/>
        <v>0</v>
      </c>
      <c r="Z15" s="9"/>
      <c r="AA15" s="9"/>
      <c r="AB15" s="9"/>
      <c r="AC15" s="10"/>
      <c r="AD15" s="11"/>
      <c r="AE15" s="7"/>
      <c r="AF15" s="10"/>
      <c r="AG15" s="18"/>
      <c r="AH15" s="10"/>
      <c r="AI15" s="7">
        <v>0</v>
      </c>
      <c r="AJ15" s="250">
        <v>299.14</v>
      </c>
      <c r="AK15" s="187">
        <f t="shared" si="13"/>
        <v>0</v>
      </c>
      <c r="AL15" s="7">
        <f t="shared" si="14"/>
        <v>0</v>
      </c>
      <c r="AM15" s="7">
        <f t="shared" si="15"/>
        <v>0</v>
      </c>
      <c r="AN15" s="7"/>
      <c r="AO15" s="18"/>
      <c r="AP15" s="10"/>
      <c r="AQ15" s="7"/>
      <c r="AR15" s="7"/>
      <c r="AS15" s="7"/>
      <c r="AT15" s="7"/>
      <c r="AU15" s="12"/>
      <c r="AV15" s="12"/>
      <c r="AW15" s="10"/>
      <c r="AX15" s="11"/>
      <c r="AY15" s="7"/>
      <c r="AZ15" s="10"/>
      <c r="BA15" s="7"/>
      <c r="BB15" s="10"/>
      <c r="BC15" s="7">
        <v>1221</v>
      </c>
      <c r="BD15" s="247">
        <v>272.26</v>
      </c>
      <c r="BE15" s="187">
        <f t="shared" si="24"/>
        <v>332429.45999999996</v>
      </c>
      <c r="BF15" s="7">
        <f t="shared" si="51"/>
        <v>0</v>
      </c>
      <c r="BG15" s="7">
        <f t="shared" si="25"/>
        <v>842.4899999999999</v>
      </c>
      <c r="BH15" s="7"/>
      <c r="BI15" s="11"/>
      <c r="BJ15" s="10"/>
      <c r="BK15" s="7"/>
      <c r="BL15" s="7"/>
      <c r="BM15" s="7"/>
      <c r="BN15" s="7"/>
      <c r="BO15" s="11"/>
      <c r="BP15" s="11"/>
      <c r="BQ15" s="11"/>
      <c r="BR15" s="11"/>
      <c r="BS15" s="7"/>
      <c r="BT15" s="7"/>
      <c r="BU15" s="11"/>
      <c r="BV15" s="11"/>
      <c r="BW15" s="11"/>
      <c r="BX15" s="7">
        <v>0</v>
      </c>
      <c r="BY15" s="247">
        <v>0</v>
      </c>
      <c r="BZ15" s="187">
        <v>0</v>
      </c>
      <c r="CA15" s="7">
        <v>0</v>
      </c>
      <c r="CB15" s="7">
        <v>0</v>
      </c>
      <c r="CC15" s="7"/>
      <c r="CD15" s="11"/>
      <c r="CE15" s="7"/>
      <c r="CF15" s="7"/>
      <c r="CG15" s="7"/>
      <c r="CH15" s="7"/>
      <c r="CI15" s="13">
        <v>0</v>
      </c>
      <c r="CJ15" s="189">
        <v>0</v>
      </c>
      <c r="CK15" s="13">
        <v>0</v>
      </c>
      <c r="CL15" s="13"/>
      <c r="CM15" s="13">
        <v>1440</v>
      </c>
      <c r="CN15" s="14">
        <v>0</v>
      </c>
      <c r="CO15" s="13">
        <v>0</v>
      </c>
      <c r="CP15" s="189">
        <v>2249.79</v>
      </c>
      <c r="CQ15" s="13">
        <f t="shared" si="35"/>
        <v>0</v>
      </c>
      <c r="CR15" s="13">
        <v>0</v>
      </c>
      <c r="CS15" s="189">
        <v>445.51</v>
      </c>
      <c r="CT15" s="13">
        <f t="shared" si="54"/>
        <v>0</v>
      </c>
      <c r="CU15" s="13">
        <v>0</v>
      </c>
      <c r="CV15" s="189">
        <v>2249.79</v>
      </c>
      <c r="CW15" s="13">
        <f t="shared" si="36"/>
        <v>0</v>
      </c>
      <c r="CX15" s="13">
        <v>0</v>
      </c>
      <c r="CY15" s="189">
        <v>2249.79</v>
      </c>
      <c r="CZ15" s="13">
        <f t="shared" si="37"/>
        <v>0</v>
      </c>
      <c r="DA15" s="13">
        <v>0</v>
      </c>
      <c r="DB15" s="189">
        <v>464.26</v>
      </c>
      <c r="DC15" s="13">
        <f t="shared" si="38"/>
        <v>0</v>
      </c>
      <c r="DD15" s="13">
        <v>0</v>
      </c>
      <c r="DE15" s="189">
        <v>2249.79</v>
      </c>
      <c r="DF15" s="13">
        <f t="shared" si="39"/>
        <v>0</v>
      </c>
      <c r="DG15" s="13">
        <v>5</v>
      </c>
      <c r="DH15" s="189">
        <v>2249.79</v>
      </c>
      <c r="DI15" s="13">
        <f t="shared" si="40"/>
        <v>11248.95</v>
      </c>
      <c r="DJ15" s="13">
        <v>250</v>
      </c>
      <c r="DK15" s="13">
        <v>504.26</v>
      </c>
      <c r="DL15" s="13">
        <f t="shared" si="41"/>
        <v>126065</v>
      </c>
      <c r="DM15" s="13">
        <v>10</v>
      </c>
      <c r="DN15" s="189">
        <v>2249.79</v>
      </c>
      <c r="DO15" s="16">
        <f t="shared" si="42"/>
        <v>22497.9</v>
      </c>
      <c r="DP15" s="196"/>
    </row>
    <row r="16" spans="1:120" ht="51" x14ac:dyDescent="0.25">
      <c r="A16" s="17" t="s">
        <v>33</v>
      </c>
      <c r="B16" s="9"/>
      <c r="C16" s="19" t="s">
        <v>41</v>
      </c>
      <c r="D16" s="9"/>
      <c r="E16" s="10"/>
      <c r="F16" s="11"/>
      <c r="G16" s="7"/>
      <c r="H16" s="10"/>
      <c r="I16" s="7"/>
      <c r="J16" s="10"/>
      <c r="K16" s="7">
        <v>8078</v>
      </c>
      <c r="L16" s="241">
        <v>299.54000000000002</v>
      </c>
      <c r="M16" s="187">
        <f t="shared" si="2"/>
        <v>2419684.12</v>
      </c>
      <c r="N16" s="7">
        <f t="shared" si="3"/>
        <v>0</v>
      </c>
      <c r="O16" s="7">
        <f t="shared" si="44"/>
        <v>4685.24</v>
      </c>
      <c r="P16" s="7"/>
      <c r="Q16" s="7"/>
      <c r="R16" s="188"/>
      <c r="S16" s="7"/>
      <c r="T16" s="7"/>
      <c r="U16" s="7"/>
      <c r="V16" s="7"/>
      <c r="W16" s="7">
        <f t="shared" si="8"/>
        <v>565.46</v>
      </c>
      <c r="X16" s="247">
        <v>14</v>
      </c>
      <c r="Y16" s="187">
        <f t="shared" si="9"/>
        <v>7916.4400000000005</v>
      </c>
      <c r="Z16" s="9"/>
      <c r="AA16" s="9"/>
      <c r="AB16" s="9"/>
      <c r="AC16" s="10"/>
      <c r="AD16" s="11"/>
      <c r="AE16" s="7"/>
      <c r="AF16" s="10"/>
      <c r="AG16" s="18"/>
      <c r="AH16" s="10"/>
      <c r="AI16" s="7">
        <v>1026</v>
      </c>
      <c r="AJ16" s="250">
        <v>299.14</v>
      </c>
      <c r="AK16" s="187">
        <f t="shared" si="13"/>
        <v>306917.64</v>
      </c>
      <c r="AL16" s="7">
        <f t="shared" si="14"/>
        <v>0</v>
      </c>
      <c r="AM16" s="7">
        <f t="shared" si="15"/>
        <v>677.16000000000008</v>
      </c>
      <c r="AN16" s="7"/>
      <c r="AO16" s="18"/>
      <c r="AP16" s="10"/>
      <c r="AQ16" s="7"/>
      <c r="AR16" s="7"/>
      <c r="AS16" s="7"/>
      <c r="AT16" s="7"/>
      <c r="AU16" s="12"/>
      <c r="AV16" s="12"/>
      <c r="AW16" s="10"/>
      <c r="AX16" s="11"/>
      <c r="AY16" s="7"/>
      <c r="AZ16" s="10"/>
      <c r="BA16" s="7"/>
      <c r="BB16" s="10"/>
      <c r="BC16" s="7">
        <v>0</v>
      </c>
      <c r="BD16" s="247">
        <v>272.26</v>
      </c>
      <c r="BE16" s="187">
        <f t="shared" si="24"/>
        <v>0</v>
      </c>
      <c r="BF16" s="7">
        <f t="shared" si="51"/>
        <v>0</v>
      </c>
      <c r="BG16" s="7">
        <f t="shared" si="25"/>
        <v>0</v>
      </c>
      <c r="BH16" s="7"/>
      <c r="BI16" s="11"/>
      <c r="BJ16" s="10"/>
      <c r="BK16" s="7"/>
      <c r="BL16" s="7"/>
      <c r="BM16" s="7"/>
      <c r="BN16" s="7"/>
      <c r="BO16" s="11"/>
      <c r="BP16" s="11"/>
      <c r="BQ16" s="11"/>
      <c r="BR16" s="11"/>
      <c r="BS16" s="7"/>
      <c r="BT16" s="7"/>
      <c r="BU16" s="11"/>
      <c r="BV16" s="11"/>
      <c r="BW16" s="11"/>
      <c r="BX16" s="7">
        <v>0</v>
      </c>
      <c r="BY16" s="247">
        <v>0</v>
      </c>
      <c r="BZ16" s="187">
        <v>0</v>
      </c>
      <c r="CA16" s="7">
        <v>0</v>
      </c>
      <c r="CB16" s="7">
        <v>0</v>
      </c>
      <c r="CC16" s="7"/>
      <c r="CD16" s="11"/>
      <c r="CE16" s="7"/>
      <c r="CF16" s="7"/>
      <c r="CG16" s="7"/>
      <c r="CH16" s="7"/>
      <c r="CI16" s="13">
        <v>0</v>
      </c>
      <c r="CJ16" s="189">
        <v>0</v>
      </c>
      <c r="CK16" s="13">
        <v>0</v>
      </c>
      <c r="CL16" s="13" t="s">
        <v>135</v>
      </c>
      <c r="CM16" s="13">
        <v>1440</v>
      </c>
      <c r="CN16" s="14">
        <v>150596</v>
      </c>
      <c r="CO16" s="13">
        <v>132</v>
      </c>
      <c r="CP16" s="189">
        <v>2249.79</v>
      </c>
      <c r="CQ16" s="13">
        <f t="shared" si="35"/>
        <v>296972.27999999997</v>
      </c>
      <c r="CR16" s="13">
        <v>0</v>
      </c>
      <c r="CS16" s="189">
        <v>445.51</v>
      </c>
      <c r="CT16" s="13">
        <f t="shared" si="54"/>
        <v>0</v>
      </c>
      <c r="CU16" s="13">
        <v>0</v>
      </c>
      <c r="CV16" s="189">
        <v>2249.79</v>
      </c>
      <c r="CW16" s="13">
        <f t="shared" si="36"/>
        <v>0</v>
      </c>
      <c r="CX16" s="13">
        <v>0</v>
      </c>
      <c r="CY16" s="189">
        <v>2249.79</v>
      </c>
      <c r="CZ16" s="13">
        <f t="shared" si="37"/>
        <v>0</v>
      </c>
      <c r="DA16" s="13">
        <v>260</v>
      </c>
      <c r="DB16" s="189">
        <v>464.26</v>
      </c>
      <c r="DC16" s="13">
        <f t="shared" si="38"/>
        <v>120707.59999999999</v>
      </c>
      <c r="DD16" s="13">
        <v>11</v>
      </c>
      <c r="DE16" s="189">
        <v>2249.79</v>
      </c>
      <c r="DF16" s="13">
        <f t="shared" si="39"/>
        <v>24747.69</v>
      </c>
      <c r="DG16" s="13">
        <v>0</v>
      </c>
      <c r="DH16" s="189">
        <v>2249.79</v>
      </c>
      <c r="DI16" s="13">
        <f t="shared" si="40"/>
        <v>0</v>
      </c>
      <c r="DJ16" s="13">
        <v>0</v>
      </c>
      <c r="DK16" s="13">
        <v>504.26</v>
      </c>
      <c r="DL16" s="13">
        <f t="shared" si="41"/>
        <v>0</v>
      </c>
      <c r="DM16" s="13">
        <v>0</v>
      </c>
      <c r="DN16" s="189">
        <v>2249.79</v>
      </c>
      <c r="DO16" s="16">
        <f t="shared" si="42"/>
        <v>0</v>
      </c>
      <c r="DP16" s="196"/>
    </row>
    <row r="17" spans="1:120" ht="63.75" x14ac:dyDescent="0.25">
      <c r="A17" s="17" t="s">
        <v>33</v>
      </c>
      <c r="B17" s="9"/>
      <c r="C17" s="19" t="s">
        <v>42</v>
      </c>
      <c r="D17" s="9"/>
      <c r="E17" s="10"/>
      <c r="F17" s="11"/>
      <c r="G17" s="7"/>
      <c r="H17" s="10"/>
      <c r="I17" s="7"/>
      <c r="J17" s="10"/>
      <c r="K17" s="7">
        <v>0</v>
      </c>
      <c r="L17" s="241">
        <v>299.54000000000002</v>
      </c>
      <c r="M17" s="187">
        <f t="shared" si="2"/>
        <v>0</v>
      </c>
      <c r="N17" s="7">
        <f t="shared" si="3"/>
        <v>0</v>
      </c>
      <c r="O17" s="7">
        <f t="shared" si="44"/>
        <v>0</v>
      </c>
      <c r="P17" s="7"/>
      <c r="Q17" s="7"/>
      <c r="R17" s="188"/>
      <c r="S17" s="7"/>
      <c r="T17" s="7"/>
      <c r="U17" s="7"/>
      <c r="V17" s="7"/>
      <c r="W17" s="7">
        <f t="shared" si="8"/>
        <v>0</v>
      </c>
      <c r="X17" s="247">
        <v>14</v>
      </c>
      <c r="Y17" s="187">
        <f t="shared" si="9"/>
        <v>0</v>
      </c>
      <c r="Z17" s="9"/>
      <c r="AA17" s="9"/>
      <c r="AB17" s="9"/>
      <c r="AC17" s="10"/>
      <c r="AD17" s="11"/>
      <c r="AE17" s="7"/>
      <c r="AF17" s="10"/>
      <c r="AG17" s="18"/>
      <c r="AH17" s="10"/>
      <c r="AI17" s="7">
        <v>0</v>
      </c>
      <c r="AJ17" s="250">
        <v>299.14</v>
      </c>
      <c r="AK17" s="187">
        <f t="shared" si="13"/>
        <v>0</v>
      </c>
      <c r="AL17" s="7">
        <f t="shared" si="14"/>
        <v>0</v>
      </c>
      <c r="AM17" s="7">
        <f t="shared" si="15"/>
        <v>0</v>
      </c>
      <c r="AN17" s="7"/>
      <c r="AO17" s="18"/>
      <c r="AP17" s="10"/>
      <c r="AQ17" s="7"/>
      <c r="AR17" s="7"/>
      <c r="AS17" s="7"/>
      <c r="AT17" s="7"/>
      <c r="AU17" s="12"/>
      <c r="AV17" s="12"/>
      <c r="AW17" s="10"/>
      <c r="AX17" s="11"/>
      <c r="AY17" s="7"/>
      <c r="AZ17" s="10"/>
      <c r="BA17" s="7"/>
      <c r="BB17" s="10"/>
      <c r="BC17" s="7">
        <v>1400</v>
      </c>
      <c r="BD17" s="247">
        <v>272.26</v>
      </c>
      <c r="BE17" s="187">
        <f t="shared" si="24"/>
        <v>381164</v>
      </c>
      <c r="BF17" s="7">
        <f t="shared" si="51"/>
        <v>0</v>
      </c>
      <c r="BG17" s="7">
        <f t="shared" si="25"/>
        <v>965.99999999999989</v>
      </c>
      <c r="BH17" s="7"/>
      <c r="BI17" s="11"/>
      <c r="BJ17" s="10"/>
      <c r="BK17" s="7"/>
      <c r="BL17" s="7"/>
      <c r="BM17" s="7"/>
      <c r="BN17" s="7"/>
      <c r="BO17" s="11"/>
      <c r="BP17" s="11"/>
      <c r="BQ17" s="11"/>
      <c r="BR17" s="11"/>
      <c r="BS17" s="7"/>
      <c r="BT17" s="7"/>
      <c r="BU17" s="11"/>
      <c r="BV17" s="11"/>
      <c r="BW17" s="11"/>
      <c r="BX17" s="7">
        <v>0</v>
      </c>
      <c r="BY17" s="247">
        <v>0</v>
      </c>
      <c r="BZ17" s="187">
        <v>0</v>
      </c>
      <c r="CA17" s="7">
        <v>0</v>
      </c>
      <c r="CB17" s="7">
        <v>0</v>
      </c>
      <c r="CC17" s="7"/>
      <c r="CD17" s="11"/>
      <c r="CE17" s="7"/>
      <c r="CF17" s="7"/>
      <c r="CG17" s="7"/>
      <c r="CH17" s="7"/>
      <c r="CI17" s="13">
        <v>0</v>
      </c>
      <c r="CJ17" s="189">
        <v>0</v>
      </c>
      <c r="CK17" s="13">
        <v>0</v>
      </c>
      <c r="CL17" s="13"/>
      <c r="CM17" s="13">
        <v>1440</v>
      </c>
      <c r="CN17" s="14">
        <v>0</v>
      </c>
      <c r="CO17" s="13">
        <v>0</v>
      </c>
      <c r="CP17" s="189">
        <v>2249.79</v>
      </c>
      <c r="CQ17" s="13">
        <f t="shared" si="35"/>
        <v>0</v>
      </c>
      <c r="CR17" s="13">
        <v>0</v>
      </c>
      <c r="CS17" s="189">
        <v>445.51</v>
      </c>
      <c r="CT17" s="13">
        <f t="shared" si="54"/>
        <v>0</v>
      </c>
      <c r="CU17" s="13">
        <v>0</v>
      </c>
      <c r="CV17" s="189">
        <v>2249.79</v>
      </c>
      <c r="CW17" s="13">
        <f t="shared" si="36"/>
        <v>0</v>
      </c>
      <c r="CX17" s="13">
        <v>0</v>
      </c>
      <c r="CY17" s="189">
        <v>2249.79</v>
      </c>
      <c r="CZ17" s="13">
        <f t="shared" si="37"/>
        <v>0</v>
      </c>
      <c r="DA17" s="13">
        <v>0</v>
      </c>
      <c r="DB17" s="189">
        <v>464.26</v>
      </c>
      <c r="DC17" s="13">
        <f t="shared" si="38"/>
        <v>0</v>
      </c>
      <c r="DD17" s="13">
        <v>0</v>
      </c>
      <c r="DE17" s="189">
        <v>2249.79</v>
      </c>
      <c r="DF17" s="13">
        <f t="shared" si="39"/>
        <v>0</v>
      </c>
      <c r="DG17" s="13">
        <v>0</v>
      </c>
      <c r="DH17" s="189">
        <v>2249.79</v>
      </c>
      <c r="DI17" s="13">
        <f t="shared" si="40"/>
        <v>0</v>
      </c>
      <c r="DJ17" s="13">
        <v>0</v>
      </c>
      <c r="DK17" s="13">
        <v>504.26</v>
      </c>
      <c r="DL17" s="13">
        <f t="shared" si="41"/>
        <v>0</v>
      </c>
      <c r="DM17" s="13">
        <v>0</v>
      </c>
      <c r="DN17" s="189">
        <v>2249.79</v>
      </c>
      <c r="DO17" s="16">
        <f t="shared" si="42"/>
        <v>0</v>
      </c>
      <c r="DP17" s="196"/>
    </row>
    <row r="18" spans="1:120" ht="25.5" x14ac:dyDescent="0.25">
      <c r="A18" s="17" t="s">
        <v>33</v>
      </c>
      <c r="B18" s="9"/>
      <c r="C18" s="19" t="s">
        <v>43</v>
      </c>
      <c r="D18" s="9"/>
      <c r="E18" s="10"/>
      <c r="F18" s="11"/>
      <c r="G18" s="7"/>
      <c r="H18" s="10"/>
      <c r="I18" s="7"/>
      <c r="J18" s="10"/>
      <c r="K18" s="7">
        <v>2075</v>
      </c>
      <c r="L18" s="241">
        <v>299.54000000000002</v>
      </c>
      <c r="M18" s="187">
        <f t="shared" si="2"/>
        <v>621545.5</v>
      </c>
      <c r="N18" s="7">
        <f t="shared" si="3"/>
        <v>0</v>
      </c>
      <c r="O18" s="7">
        <f t="shared" si="44"/>
        <v>1203.5</v>
      </c>
      <c r="P18" s="7"/>
      <c r="Q18" s="7"/>
      <c r="R18" s="188"/>
      <c r="S18" s="7"/>
      <c r="T18" s="7"/>
      <c r="U18" s="7"/>
      <c r="V18" s="7"/>
      <c r="W18" s="7">
        <f t="shared" si="8"/>
        <v>145.25</v>
      </c>
      <c r="X18" s="247">
        <v>14</v>
      </c>
      <c r="Y18" s="187">
        <f t="shared" si="9"/>
        <v>2033.5</v>
      </c>
      <c r="Z18" s="9"/>
      <c r="AA18" s="9"/>
      <c r="AB18" s="9"/>
      <c r="AC18" s="10"/>
      <c r="AD18" s="11"/>
      <c r="AE18" s="7"/>
      <c r="AF18" s="10"/>
      <c r="AG18" s="18"/>
      <c r="AH18" s="10"/>
      <c r="AI18" s="7">
        <v>1749</v>
      </c>
      <c r="AJ18" s="250">
        <v>299.14</v>
      </c>
      <c r="AK18" s="187">
        <f t="shared" si="13"/>
        <v>523195.86</v>
      </c>
      <c r="AL18" s="7">
        <f t="shared" si="14"/>
        <v>0</v>
      </c>
      <c r="AM18" s="7">
        <f t="shared" si="15"/>
        <v>1154.3400000000001</v>
      </c>
      <c r="AN18" s="7"/>
      <c r="AO18" s="18"/>
      <c r="AP18" s="10"/>
      <c r="AQ18" s="7"/>
      <c r="AR18" s="7"/>
      <c r="AS18" s="7"/>
      <c r="AT18" s="7"/>
      <c r="AU18" s="12"/>
      <c r="AV18" s="12"/>
      <c r="AW18" s="10"/>
      <c r="AX18" s="11"/>
      <c r="AY18" s="7"/>
      <c r="AZ18" s="10"/>
      <c r="BA18" s="7"/>
      <c r="BB18" s="10"/>
      <c r="BC18" s="7">
        <v>0</v>
      </c>
      <c r="BD18" s="247">
        <v>272.26</v>
      </c>
      <c r="BE18" s="187">
        <f t="shared" si="24"/>
        <v>0</v>
      </c>
      <c r="BF18" s="7">
        <f t="shared" si="51"/>
        <v>0</v>
      </c>
      <c r="BG18" s="7">
        <f t="shared" si="25"/>
        <v>0</v>
      </c>
      <c r="BH18" s="7"/>
      <c r="BI18" s="11"/>
      <c r="BJ18" s="10"/>
      <c r="BK18" s="7"/>
      <c r="BL18" s="7"/>
      <c r="BM18" s="7"/>
      <c r="BN18" s="7"/>
      <c r="BO18" s="11"/>
      <c r="BP18" s="11"/>
      <c r="BQ18" s="11"/>
      <c r="BR18" s="11"/>
      <c r="BS18" s="7"/>
      <c r="BT18" s="7"/>
      <c r="BU18" s="11"/>
      <c r="BV18" s="11"/>
      <c r="BW18" s="11"/>
      <c r="BX18" s="7">
        <v>0</v>
      </c>
      <c r="BY18" s="247">
        <v>0</v>
      </c>
      <c r="BZ18" s="187">
        <v>0</v>
      </c>
      <c r="CA18" s="7">
        <v>0</v>
      </c>
      <c r="CB18" s="7">
        <v>0</v>
      </c>
      <c r="CC18" s="7"/>
      <c r="CD18" s="11"/>
      <c r="CE18" s="7"/>
      <c r="CF18" s="7"/>
      <c r="CG18" s="7"/>
      <c r="CH18" s="7"/>
      <c r="CI18" s="13">
        <v>0</v>
      </c>
      <c r="CJ18" s="189">
        <v>0</v>
      </c>
      <c r="CK18" s="13">
        <v>0</v>
      </c>
      <c r="CL18" s="13" t="s">
        <v>136</v>
      </c>
      <c r="CM18" s="13">
        <v>1440</v>
      </c>
      <c r="CN18" s="14">
        <v>177116</v>
      </c>
      <c r="CO18" s="13">
        <v>60</v>
      </c>
      <c r="CP18" s="189">
        <v>2249.79</v>
      </c>
      <c r="CQ18" s="13">
        <f t="shared" si="35"/>
        <v>134987.4</v>
      </c>
      <c r="CR18" s="13">
        <v>0</v>
      </c>
      <c r="CS18" s="189">
        <v>445.51</v>
      </c>
      <c r="CT18" s="13">
        <f t="shared" si="54"/>
        <v>0</v>
      </c>
      <c r="CU18" s="13">
        <v>0</v>
      </c>
      <c r="CV18" s="189">
        <v>2249.79</v>
      </c>
      <c r="CW18" s="13">
        <f t="shared" si="36"/>
        <v>0</v>
      </c>
      <c r="CX18" s="13">
        <v>8</v>
      </c>
      <c r="CY18" s="189">
        <v>2249.79</v>
      </c>
      <c r="CZ18" s="13">
        <f t="shared" si="37"/>
        <v>17998.32</v>
      </c>
      <c r="DA18" s="13">
        <v>0</v>
      </c>
      <c r="DB18" s="189">
        <v>464.26</v>
      </c>
      <c r="DC18" s="13">
        <f t="shared" si="38"/>
        <v>0</v>
      </c>
      <c r="DD18" s="13">
        <v>0</v>
      </c>
      <c r="DE18" s="189">
        <v>2249.79</v>
      </c>
      <c r="DF18" s="13">
        <f t="shared" si="39"/>
        <v>0</v>
      </c>
      <c r="DG18" s="13">
        <v>0</v>
      </c>
      <c r="DH18" s="189">
        <v>2249.79</v>
      </c>
      <c r="DI18" s="13">
        <f t="shared" si="40"/>
        <v>0</v>
      </c>
      <c r="DJ18" s="13">
        <v>0</v>
      </c>
      <c r="DK18" s="13">
        <v>504.26</v>
      </c>
      <c r="DL18" s="13">
        <f t="shared" si="41"/>
        <v>0</v>
      </c>
      <c r="DM18" s="13">
        <v>0</v>
      </c>
      <c r="DN18" s="189">
        <v>2249.79</v>
      </c>
      <c r="DO18" s="16">
        <f t="shared" si="42"/>
        <v>0</v>
      </c>
      <c r="DP18" s="196"/>
    </row>
    <row r="19" spans="1:120" s="143" customFormat="1" ht="25.5" x14ac:dyDescent="0.25">
      <c r="A19" s="218" t="s">
        <v>44</v>
      </c>
      <c r="B19" s="112"/>
      <c r="C19" s="220"/>
      <c r="D19" s="112"/>
      <c r="E19" s="113"/>
      <c r="F19" s="114"/>
      <c r="G19" s="117"/>
      <c r="H19" s="113"/>
      <c r="I19" s="117"/>
      <c r="J19" s="113"/>
      <c r="K19" s="115">
        <v>10600</v>
      </c>
      <c r="L19" s="241">
        <v>299.54000000000002</v>
      </c>
      <c r="M19" s="119">
        <f>K19*L19</f>
        <v>3175124</v>
      </c>
      <c r="N19" s="115"/>
      <c r="O19" s="115">
        <f>K19*58%</f>
        <v>6148</v>
      </c>
      <c r="P19" s="115"/>
      <c r="Q19" s="117"/>
      <c r="R19" s="116"/>
      <c r="S19" s="115"/>
      <c r="T19" s="115"/>
      <c r="U19" s="115"/>
      <c r="V19" s="115"/>
      <c r="W19" s="115">
        <f t="shared" si="8"/>
        <v>742.00000000000011</v>
      </c>
      <c r="X19" s="246">
        <v>14</v>
      </c>
      <c r="Y19" s="119">
        <f t="shared" si="9"/>
        <v>10388.000000000002</v>
      </c>
      <c r="Z19" s="112"/>
      <c r="AA19" s="112"/>
      <c r="AB19" s="112"/>
      <c r="AC19" s="113"/>
      <c r="AD19" s="114"/>
      <c r="AE19" s="114"/>
      <c r="AF19" s="113"/>
      <c r="AG19" s="114"/>
      <c r="AH19" s="113"/>
      <c r="AI19" s="115">
        <v>1394</v>
      </c>
      <c r="AJ19" s="250">
        <v>299.14</v>
      </c>
      <c r="AK19" s="119">
        <f>AI19*AJ19</f>
        <v>417001.16</v>
      </c>
      <c r="AL19" s="115"/>
      <c r="AM19" s="115">
        <f>AI19*66%</f>
        <v>920.04000000000008</v>
      </c>
      <c r="AN19" s="115"/>
      <c r="AO19" s="114"/>
      <c r="AP19" s="113"/>
      <c r="AQ19" s="115"/>
      <c r="AR19" s="115"/>
      <c r="AS19" s="115"/>
      <c r="AT19" s="115"/>
      <c r="AU19" s="118"/>
      <c r="AV19" s="118"/>
      <c r="AW19" s="113"/>
      <c r="AX19" s="114"/>
      <c r="AY19" s="115"/>
      <c r="AZ19" s="113"/>
      <c r="BA19" s="114"/>
      <c r="BB19" s="113"/>
      <c r="BC19" s="115">
        <v>966</v>
      </c>
      <c r="BD19" s="247">
        <v>272.26</v>
      </c>
      <c r="BE19" s="119">
        <f t="shared" si="24"/>
        <v>263003.15999999997</v>
      </c>
      <c r="BF19" s="115"/>
      <c r="BG19" s="115">
        <f t="shared" si="25"/>
        <v>666.54</v>
      </c>
      <c r="BH19" s="115"/>
      <c r="BI19" s="114"/>
      <c r="BJ19" s="113"/>
      <c r="BK19" s="115"/>
      <c r="BL19" s="115"/>
      <c r="BM19" s="115"/>
      <c r="BN19" s="115"/>
      <c r="BO19" s="114"/>
      <c r="BP19" s="114"/>
      <c r="BQ19" s="114"/>
      <c r="BR19" s="114"/>
      <c r="BS19" s="114"/>
      <c r="BT19" s="115"/>
      <c r="BU19" s="114"/>
      <c r="BV19" s="114"/>
      <c r="BW19" s="114"/>
      <c r="BX19" s="115">
        <v>0</v>
      </c>
      <c r="BY19" s="246">
        <v>0</v>
      </c>
      <c r="BZ19" s="119">
        <v>0</v>
      </c>
      <c r="CA19" s="115">
        <v>0</v>
      </c>
      <c r="CB19" s="115">
        <v>0</v>
      </c>
      <c r="CC19" s="115"/>
      <c r="CD19" s="114"/>
      <c r="CE19" s="115"/>
      <c r="CF19" s="115"/>
      <c r="CG19" s="115"/>
      <c r="CH19" s="115"/>
      <c r="CI19" s="139">
        <v>200</v>
      </c>
      <c r="CJ19" s="140">
        <v>1351</v>
      </c>
      <c r="CK19" s="139">
        <f>CJ19*CI19</f>
        <v>270200</v>
      </c>
      <c r="CL19" s="139"/>
      <c r="CM19" s="139">
        <v>1440</v>
      </c>
      <c r="CN19" s="185">
        <f>CN20+CN22+CN23</f>
        <v>504828</v>
      </c>
      <c r="CO19" s="139">
        <f>SUM(CO20:CO24)</f>
        <v>64</v>
      </c>
      <c r="CP19" s="140">
        <v>2249.79</v>
      </c>
      <c r="CQ19" s="139">
        <f t="shared" si="35"/>
        <v>143986.56</v>
      </c>
      <c r="CR19" s="139">
        <v>0</v>
      </c>
      <c r="CS19" s="140">
        <v>445.51</v>
      </c>
      <c r="CT19" s="139">
        <f t="shared" si="54"/>
        <v>0</v>
      </c>
      <c r="CU19" s="139">
        <v>0</v>
      </c>
      <c r="CV19" s="140">
        <v>2249.79</v>
      </c>
      <c r="CW19" s="139">
        <f t="shared" si="36"/>
        <v>0</v>
      </c>
      <c r="CX19" s="139">
        <f>SUM(CX20:CX24)</f>
        <v>8</v>
      </c>
      <c r="CY19" s="140">
        <v>2249.79</v>
      </c>
      <c r="CZ19" s="139">
        <f t="shared" si="37"/>
        <v>17998.32</v>
      </c>
      <c r="DA19" s="139">
        <f>SUM(DA20:DA24)</f>
        <v>160</v>
      </c>
      <c r="DB19" s="140">
        <v>464.26</v>
      </c>
      <c r="DC19" s="139">
        <f t="shared" si="38"/>
        <v>74281.600000000006</v>
      </c>
      <c r="DD19" s="139">
        <f>SUM(DD20:DD24)</f>
        <v>7</v>
      </c>
      <c r="DE19" s="140">
        <v>2249.79</v>
      </c>
      <c r="DF19" s="139">
        <f t="shared" si="39"/>
        <v>15748.529999999999</v>
      </c>
      <c r="DG19" s="139">
        <v>0</v>
      </c>
      <c r="DH19" s="140">
        <v>2249.79</v>
      </c>
      <c r="DI19" s="139">
        <f t="shared" si="40"/>
        <v>0</v>
      </c>
      <c r="DJ19" s="139">
        <v>0</v>
      </c>
      <c r="DK19" s="139">
        <v>504.26</v>
      </c>
      <c r="DL19" s="139">
        <f t="shared" si="41"/>
        <v>0</v>
      </c>
      <c r="DM19" s="139">
        <v>0</v>
      </c>
      <c r="DN19" s="140">
        <v>2249.79</v>
      </c>
      <c r="DO19" s="205">
        <f t="shared" si="42"/>
        <v>0</v>
      </c>
      <c r="DP19" s="197"/>
    </row>
    <row r="20" spans="1:120" ht="50.25" customHeight="1" x14ac:dyDescent="0.25">
      <c r="A20" s="17" t="s">
        <v>44</v>
      </c>
      <c r="B20" s="9"/>
      <c r="C20" s="19" t="s">
        <v>45</v>
      </c>
      <c r="D20" s="9"/>
      <c r="E20" s="10"/>
      <c r="F20" s="11"/>
      <c r="G20" s="18"/>
      <c r="H20" s="10"/>
      <c r="I20" s="18"/>
      <c r="J20" s="10"/>
      <c r="K20" s="7">
        <f>ROUND(K19*40%,0)</f>
        <v>4240</v>
      </c>
      <c r="L20" s="241">
        <v>299.54000000000002</v>
      </c>
      <c r="M20" s="187">
        <f>K20*L20</f>
        <v>1270049.6000000001</v>
      </c>
      <c r="N20" s="7"/>
      <c r="O20" s="7">
        <f>_xlfn.CEILING.MATH(K20*58%,10)</f>
        <v>2460</v>
      </c>
      <c r="P20" s="7"/>
      <c r="Q20" s="18"/>
      <c r="R20" s="188"/>
      <c r="S20" s="7"/>
      <c r="T20" s="7"/>
      <c r="U20" s="7"/>
      <c r="V20" s="7"/>
      <c r="W20" s="7">
        <f t="shared" si="8"/>
        <v>296.8</v>
      </c>
      <c r="X20" s="247">
        <v>14</v>
      </c>
      <c r="Y20" s="187">
        <f t="shared" si="9"/>
        <v>4155.2</v>
      </c>
      <c r="Z20" s="9"/>
      <c r="AA20" s="9"/>
      <c r="AB20" s="9"/>
      <c r="AC20" s="10"/>
      <c r="AD20" s="11"/>
      <c r="AE20" s="11"/>
      <c r="AF20" s="10"/>
      <c r="AG20" s="11"/>
      <c r="AH20" s="10"/>
      <c r="AI20" s="7">
        <f>ROUND(AI19*83%,0)</f>
        <v>1157</v>
      </c>
      <c r="AJ20" s="250">
        <v>299.14</v>
      </c>
      <c r="AK20" s="187">
        <f t="shared" ref="AK20:AK24" si="58">AI20*AJ20</f>
        <v>346104.98</v>
      </c>
      <c r="AL20" s="7"/>
      <c r="AM20" s="7">
        <f t="shared" ref="AM20:AM24" si="59">AI20*66%</f>
        <v>763.62</v>
      </c>
      <c r="AN20" s="7"/>
      <c r="AO20" s="11"/>
      <c r="AP20" s="10"/>
      <c r="AQ20" s="7"/>
      <c r="AR20" s="7"/>
      <c r="AS20" s="7"/>
      <c r="AT20" s="7"/>
      <c r="AU20" s="12"/>
      <c r="AV20" s="12"/>
      <c r="AW20" s="10"/>
      <c r="AX20" s="11"/>
      <c r="AY20" s="7"/>
      <c r="AZ20" s="10"/>
      <c r="BA20" s="11"/>
      <c r="BB20" s="10"/>
      <c r="BC20" s="7">
        <v>0</v>
      </c>
      <c r="BD20" s="247">
        <v>272.26</v>
      </c>
      <c r="BE20" s="187">
        <f t="shared" si="24"/>
        <v>0</v>
      </c>
      <c r="BF20" s="7"/>
      <c r="BG20" s="7">
        <f t="shared" si="25"/>
        <v>0</v>
      </c>
      <c r="BH20" s="7"/>
      <c r="BI20" s="11"/>
      <c r="BJ20" s="10"/>
      <c r="BK20" s="7"/>
      <c r="BL20" s="7"/>
      <c r="BM20" s="7"/>
      <c r="BN20" s="7"/>
      <c r="BO20" s="11"/>
      <c r="BP20" s="11"/>
      <c r="BQ20" s="11"/>
      <c r="BR20" s="11"/>
      <c r="BS20" s="11"/>
      <c r="BT20" s="7"/>
      <c r="BU20" s="11"/>
      <c r="BV20" s="11"/>
      <c r="BW20" s="11"/>
      <c r="BX20" s="7">
        <v>0</v>
      </c>
      <c r="BY20" s="247">
        <v>0</v>
      </c>
      <c r="BZ20" s="187">
        <v>0</v>
      </c>
      <c r="CA20" s="7">
        <v>0</v>
      </c>
      <c r="CB20" s="7">
        <v>0</v>
      </c>
      <c r="CC20" s="7"/>
      <c r="CD20" s="11"/>
      <c r="CE20" s="7"/>
      <c r="CF20" s="7"/>
      <c r="CG20" s="7"/>
      <c r="CH20" s="7"/>
      <c r="CI20" s="13">
        <v>0</v>
      </c>
      <c r="CJ20" s="189">
        <v>0</v>
      </c>
      <c r="CK20" s="13">
        <v>0</v>
      </c>
      <c r="CL20" s="13" t="s">
        <v>136</v>
      </c>
      <c r="CM20" s="13">
        <v>1440</v>
      </c>
      <c r="CN20" s="14">
        <v>177116</v>
      </c>
      <c r="CO20" s="13">
        <v>0</v>
      </c>
      <c r="CP20" s="189">
        <v>2249.79</v>
      </c>
      <c r="CQ20" s="13">
        <f t="shared" si="35"/>
        <v>0</v>
      </c>
      <c r="CR20" s="13">
        <v>0</v>
      </c>
      <c r="CS20" s="189">
        <v>445.51</v>
      </c>
      <c r="CT20" s="13">
        <f t="shared" si="54"/>
        <v>0</v>
      </c>
      <c r="CU20" s="13">
        <v>0</v>
      </c>
      <c r="CV20" s="189">
        <v>2249.79</v>
      </c>
      <c r="CW20" s="13">
        <f t="shared" si="36"/>
        <v>0</v>
      </c>
      <c r="CX20" s="13">
        <v>0</v>
      </c>
      <c r="CY20" s="189">
        <v>2249.79</v>
      </c>
      <c r="CZ20" s="13">
        <f t="shared" si="37"/>
        <v>0</v>
      </c>
      <c r="DA20" s="13">
        <v>0</v>
      </c>
      <c r="DB20" s="189">
        <v>464.26</v>
      </c>
      <c r="DC20" s="13">
        <f t="shared" si="38"/>
        <v>0</v>
      </c>
      <c r="DD20" s="13">
        <v>0</v>
      </c>
      <c r="DE20" s="189">
        <v>2249.79</v>
      </c>
      <c r="DF20" s="13">
        <f t="shared" si="39"/>
        <v>0</v>
      </c>
      <c r="DG20" s="13">
        <v>0</v>
      </c>
      <c r="DH20" s="189">
        <v>2249.79</v>
      </c>
      <c r="DI20" s="13">
        <f t="shared" si="40"/>
        <v>0</v>
      </c>
      <c r="DJ20" s="13">
        <v>0</v>
      </c>
      <c r="DK20" s="13">
        <v>504.26</v>
      </c>
      <c r="DL20" s="13">
        <f t="shared" si="41"/>
        <v>0</v>
      </c>
      <c r="DM20" s="13">
        <v>0</v>
      </c>
      <c r="DN20" s="189">
        <v>2249.79</v>
      </c>
      <c r="DO20" s="16">
        <f t="shared" si="42"/>
        <v>0</v>
      </c>
      <c r="DP20" s="196"/>
    </row>
    <row r="21" spans="1:120" ht="44.25" customHeight="1" x14ac:dyDescent="0.25">
      <c r="A21" s="17" t="s">
        <v>44</v>
      </c>
      <c r="B21" s="9"/>
      <c r="C21" s="19" t="s">
        <v>46</v>
      </c>
      <c r="D21" s="9"/>
      <c r="E21" s="10"/>
      <c r="F21" s="11"/>
      <c r="G21" s="18"/>
      <c r="H21" s="10"/>
      <c r="I21" s="18"/>
      <c r="J21" s="10"/>
      <c r="K21" s="7">
        <f>ROUND(K19*13%,0)</f>
        <v>1378</v>
      </c>
      <c r="L21" s="241">
        <v>299.54000000000002</v>
      </c>
      <c r="M21" s="187">
        <f>K21*L21</f>
        <v>412766.12000000005</v>
      </c>
      <c r="N21" s="7"/>
      <c r="O21" s="7">
        <f>_xlfn.CEILING.MATH(K21*58%,10)</f>
        <v>800</v>
      </c>
      <c r="P21" s="7"/>
      <c r="Q21" s="18"/>
      <c r="R21" s="188"/>
      <c r="S21" s="7"/>
      <c r="T21" s="7"/>
      <c r="U21" s="7"/>
      <c r="V21" s="7"/>
      <c r="W21" s="7">
        <f t="shared" si="8"/>
        <v>96.460000000000008</v>
      </c>
      <c r="X21" s="247">
        <v>14</v>
      </c>
      <c r="Y21" s="187">
        <f t="shared" si="9"/>
        <v>1350.44</v>
      </c>
      <c r="Z21" s="9"/>
      <c r="AA21" s="9"/>
      <c r="AB21" s="9"/>
      <c r="AC21" s="10"/>
      <c r="AD21" s="11"/>
      <c r="AE21" s="11"/>
      <c r="AF21" s="10"/>
      <c r="AG21" s="11"/>
      <c r="AH21" s="10"/>
      <c r="AI21" s="7">
        <v>0</v>
      </c>
      <c r="AJ21" s="250">
        <v>299.14</v>
      </c>
      <c r="AK21" s="187">
        <f t="shared" si="58"/>
        <v>0</v>
      </c>
      <c r="AL21" s="7"/>
      <c r="AM21" s="7">
        <f t="shared" si="59"/>
        <v>0</v>
      </c>
      <c r="AN21" s="7"/>
      <c r="AO21" s="11"/>
      <c r="AP21" s="10"/>
      <c r="AQ21" s="7"/>
      <c r="AR21" s="7"/>
      <c r="AS21" s="7"/>
      <c r="AT21" s="7"/>
      <c r="AU21" s="12"/>
      <c r="AV21" s="12"/>
      <c r="AW21" s="10"/>
      <c r="AX21" s="11"/>
      <c r="AY21" s="7"/>
      <c r="AZ21" s="10"/>
      <c r="BA21" s="11"/>
      <c r="BB21" s="10"/>
      <c r="BC21" s="7">
        <v>0</v>
      </c>
      <c r="BD21" s="247">
        <v>272.26</v>
      </c>
      <c r="BE21" s="187">
        <f t="shared" si="24"/>
        <v>0</v>
      </c>
      <c r="BF21" s="7"/>
      <c r="BG21" s="7">
        <f t="shared" si="25"/>
        <v>0</v>
      </c>
      <c r="BH21" s="7"/>
      <c r="BI21" s="11"/>
      <c r="BJ21" s="10"/>
      <c r="BK21" s="7"/>
      <c r="BL21" s="7"/>
      <c r="BM21" s="7"/>
      <c r="BN21" s="7"/>
      <c r="BO21" s="11"/>
      <c r="BP21" s="11"/>
      <c r="BQ21" s="11"/>
      <c r="BR21" s="11"/>
      <c r="BS21" s="11"/>
      <c r="BT21" s="7"/>
      <c r="BU21" s="11"/>
      <c r="BV21" s="11"/>
      <c r="BW21" s="11"/>
      <c r="BX21" s="7">
        <v>0</v>
      </c>
      <c r="BY21" s="247">
        <v>0</v>
      </c>
      <c r="BZ21" s="187">
        <v>0</v>
      </c>
      <c r="CA21" s="7">
        <v>0</v>
      </c>
      <c r="CB21" s="7">
        <v>0</v>
      </c>
      <c r="CC21" s="7"/>
      <c r="CD21" s="11"/>
      <c r="CE21" s="7"/>
      <c r="CF21" s="7"/>
      <c r="CG21" s="7"/>
      <c r="CH21" s="7"/>
      <c r="CI21" s="13">
        <v>0</v>
      </c>
      <c r="CJ21" s="189">
        <v>0</v>
      </c>
      <c r="CK21" s="13">
        <v>0</v>
      </c>
      <c r="CL21" s="13"/>
      <c r="CM21" s="13">
        <v>1440</v>
      </c>
      <c r="CN21" s="14">
        <v>0</v>
      </c>
      <c r="CO21" s="13">
        <v>0</v>
      </c>
      <c r="CP21" s="189">
        <v>2249.79</v>
      </c>
      <c r="CQ21" s="13">
        <f t="shared" si="35"/>
        <v>0</v>
      </c>
      <c r="CR21" s="13">
        <v>0</v>
      </c>
      <c r="CS21" s="189">
        <v>445.51</v>
      </c>
      <c r="CT21" s="13">
        <f t="shared" si="54"/>
        <v>0</v>
      </c>
      <c r="CU21" s="13">
        <v>0</v>
      </c>
      <c r="CV21" s="189">
        <v>2249.79</v>
      </c>
      <c r="CW21" s="13">
        <f t="shared" si="36"/>
        <v>0</v>
      </c>
      <c r="CX21" s="13">
        <v>0</v>
      </c>
      <c r="CY21" s="189">
        <v>2249.79</v>
      </c>
      <c r="CZ21" s="13">
        <f t="shared" si="37"/>
        <v>0</v>
      </c>
      <c r="DA21" s="13">
        <v>0</v>
      </c>
      <c r="DB21" s="189">
        <v>464.26</v>
      </c>
      <c r="DC21" s="13">
        <f t="shared" si="38"/>
        <v>0</v>
      </c>
      <c r="DD21" s="13">
        <v>0</v>
      </c>
      <c r="DE21" s="189">
        <v>2249.79</v>
      </c>
      <c r="DF21" s="13">
        <f t="shared" si="39"/>
        <v>0</v>
      </c>
      <c r="DG21" s="13">
        <v>0</v>
      </c>
      <c r="DH21" s="189">
        <v>2249.79</v>
      </c>
      <c r="DI21" s="13">
        <f t="shared" si="40"/>
        <v>0</v>
      </c>
      <c r="DJ21" s="13">
        <v>0</v>
      </c>
      <c r="DK21" s="13">
        <v>504.26</v>
      </c>
      <c r="DL21" s="13">
        <f t="shared" si="41"/>
        <v>0</v>
      </c>
      <c r="DM21" s="13">
        <v>0</v>
      </c>
      <c r="DN21" s="189">
        <v>2249.79</v>
      </c>
      <c r="DO21" s="16">
        <f t="shared" si="42"/>
        <v>0</v>
      </c>
      <c r="DP21" s="196"/>
    </row>
    <row r="22" spans="1:120" ht="32.25" customHeight="1" x14ac:dyDescent="0.25">
      <c r="A22" s="17" t="s">
        <v>44</v>
      </c>
      <c r="B22" s="9"/>
      <c r="C22" s="19" t="s">
        <v>47</v>
      </c>
      <c r="D22" s="9"/>
      <c r="E22" s="10"/>
      <c r="F22" s="11"/>
      <c r="G22" s="18"/>
      <c r="H22" s="10"/>
      <c r="I22" s="18"/>
      <c r="J22" s="10"/>
      <c r="K22" s="7">
        <v>0</v>
      </c>
      <c r="L22" s="241">
        <v>299.54000000000002</v>
      </c>
      <c r="M22" s="187">
        <f t="shared" ref="M22:M24" si="60">K22*L22</f>
        <v>0</v>
      </c>
      <c r="N22" s="7"/>
      <c r="O22" s="7">
        <f t="shared" ref="O22" si="61">_xlfn.CEILING.MATH(K22*58%,10)</f>
        <v>0</v>
      </c>
      <c r="P22" s="7"/>
      <c r="Q22" s="18"/>
      <c r="R22" s="188"/>
      <c r="S22" s="7"/>
      <c r="T22" s="7"/>
      <c r="U22" s="7"/>
      <c r="V22" s="7"/>
      <c r="W22" s="7">
        <f t="shared" si="8"/>
        <v>0</v>
      </c>
      <c r="X22" s="247">
        <v>14</v>
      </c>
      <c r="Y22" s="187">
        <f t="shared" si="9"/>
        <v>0</v>
      </c>
      <c r="Z22" s="9"/>
      <c r="AA22" s="9"/>
      <c r="AB22" s="9"/>
      <c r="AC22" s="10"/>
      <c r="AD22" s="11"/>
      <c r="AE22" s="11"/>
      <c r="AF22" s="10"/>
      <c r="AG22" s="11"/>
      <c r="AH22" s="10"/>
      <c r="AI22" s="7">
        <v>0</v>
      </c>
      <c r="AJ22" s="250">
        <v>299.14</v>
      </c>
      <c r="AK22" s="187">
        <f t="shared" si="58"/>
        <v>0</v>
      </c>
      <c r="AL22" s="7"/>
      <c r="AM22" s="7">
        <f t="shared" si="59"/>
        <v>0</v>
      </c>
      <c r="AN22" s="7"/>
      <c r="AO22" s="11"/>
      <c r="AP22" s="10"/>
      <c r="AQ22" s="7"/>
      <c r="AR22" s="7"/>
      <c r="AS22" s="7"/>
      <c r="AT22" s="7"/>
      <c r="AU22" s="12"/>
      <c r="AV22" s="12"/>
      <c r="AW22" s="10"/>
      <c r="AX22" s="11"/>
      <c r="AY22" s="7"/>
      <c r="AZ22" s="10"/>
      <c r="BA22" s="11"/>
      <c r="BB22" s="10"/>
      <c r="BC22" s="7">
        <f>BC19</f>
        <v>966</v>
      </c>
      <c r="BD22" s="247">
        <v>272.26</v>
      </c>
      <c r="BE22" s="187">
        <f>BC22*BD22</f>
        <v>263003.15999999997</v>
      </c>
      <c r="BF22" s="7"/>
      <c r="BG22" s="7">
        <v>666</v>
      </c>
      <c r="BH22" s="7"/>
      <c r="BI22" s="11"/>
      <c r="BJ22" s="10"/>
      <c r="BK22" s="7"/>
      <c r="BL22" s="7"/>
      <c r="BM22" s="7"/>
      <c r="BN22" s="7"/>
      <c r="BO22" s="11"/>
      <c r="BP22" s="11"/>
      <c r="BQ22" s="11"/>
      <c r="BR22" s="11"/>
      <c r="BS22" s="11"/>
      <c r="BT22" s="7"/>
      <c r="BU22" s="11"/>
      <c r="BV22" s="11"/>
      <c r="BW22" s="11"/>
      <c r="BX22" s="7">
        <v>0</v>
      </c>
      <c r="BY22" s="247">
        <v>0</v>
      </c>
      <c r="BZ22" s="187">
        <v>0</v>
      </c>
      <c r="CA22" s="7">
        <v>0</v>
      </c>
      <c r="CB22" s="7">
        <v>0</v>
      </c>
      <c r="CC22" s="7"/>
      <c r="CD22" s="11"/>
      <c r="CE22" s="7"/>
      <c r="CF22" s="7"/>
      <c r="CG22" s="7"/>
      <c r="CH22" s="7"/>
      <c r="CI22" s="13">
        <v>0</v>
      </c>
      <c r="CJ22" s="189">
        <v>0</v>
      </c>
      <c r="CK22" s="13">
        <v>0</v>
      </c>
      <c r="CL22" s="13" t="s">
        <v>136</v>
      </c>
      <c r="CM22" s="13">
        <v>1440</v>
      </c>
      <c r="CN22" s="14">
        <v>177116</v>
      </c>
      <c r="CO22" s="13">
        <v>0</v>
      </c>
      <c r="CP22" s="189">
        <v>2249.79</v>
      </c>
      <c r="CQ22" s="13">
        <f t="shared" si="35"/>
        <v>0</v>
      </c>
      <c r="CR22" s="13">
        <v>0</v>
      </c>
      <c r="CS22" s="189">
        <v>445.51</v>
      </c>
      <c r="CT22" s="13">
        <f t="shared" si="54"/>
        <v>0</v>
      </c>
      <c r="CU22" s="13">
        <v>0</v>
      </c>
      <c r="CV22" s="189">
        <v>2249.79</v>
      </c>
      <c r="CW22" s="13">
        <f t="shared" si="36"/>
        <v>0</v>
      </c>
      <c r="CX22" s="13">
        <v>0</v>
      </c>
      <c r="CY22" s="189">
        <v>2249.79</v>
      </c>
      <c r="CZ22" s="13">
        <f t="shared" si="37"/>
        <v>0</v>
      </c>
      <c r="DA22" s="13">
        <v>0</v>
      </c>
      <c r="DB22" s="189">
        <v>464.26</v>
      </c>
      <c r="DC22" s="13">
        <f t="shared" si="38"/>
        <v>0</v>
      </c>
      <c r="DD22" s="13">
        <v>0</v>
      </c>
      <c r="DE22" s="189">
        <v>2249.79</v>
      </c>
      <c r="DF22" s="13">
        <f t="shared" si="39"/>
        <v>0</v>
      </c>
      <c r="DG22" s="13">
        <v>0</v>
      </c>
      <c r="DH22" s="189">
        <v>2249.79</v>
      </c>
      <c r="DI22" s="13">
        <f t="shared" si="40"/>
        <v>0</v>
      </c>
      <c r="DJ22" s="13">
        <v>0</v>
      </c>
      <c r="DK22" s="13">
        <v>504.26</v>
      </c>
      <c r="DL22" s="13">
        <f t="shared" si="41"/>
        <v>0</v>
      </c>
      <c r="DM22" s="13">
        <v>0</v>
      </c>
      <c r="DN22" s="189">
        <v>2249.79</v>
      </c>
      <c r="DO22" s="16">
        <f t="shared" si="42"/>
        <v>0</v>
      </c>
      <c r="DP22" s="196"/>
    </row>
    <row r="23" spans="1:120" ht="33.75" customHeight="1" x14ac:dyDescent="0.25">
      <c r="A23" s="17" t="s">
        <v>44</v>
      </c>
      <c r="B23" s="9"/>
      <c r="C23" s="19" t="s">
        <v>48</v>
      </c>
      <c r="D23" s="9"/>
      <c r="E23" s="10"/>
      <c r="F23" s="11"/>
      <c r="G23" s="18"/>
      <c r="H23" s="10"/>
      <c r="I23" s="18"/>
      <c r="J23" s="10"/>
      <c r="K23" s="7">
        <f>ROUND(K19*47%,0)</f>
        <v>4982</v>
      </c>
      <c r="L23" s="241">
        <v>299.54000000000002</v>
      </c>
      <c r="M23" s="187">
        <f>K23*L23</f>
        <v>1492308.28</v>
      </c>
      <c r="N23" s="7"/>
      <c r="O23" s="7">
        <v>2888</v>
      </c>
      <c r="P23" s="7"/>
      <c r="Q23" s="18"/>
      <c r="R23" s="188"/>
      <c r="S23" s="7"/>
      <c r="T23" s="7"/>
      <c r="U23" s="7"/>
      <c r="V23" s="7"/>
      <c r="W23" s="7">
        <f t="shared" si="8"/>
        <v>348.74</v>
      </c>
      <c r="X23" s="247">
        <v>14</v>
      </c>
      <c r="Y23" s="187">
        <f t="shared" si="9"/>
        <v>4882.3600000000006</v>
      </c>
      <c r="Z23" s="9"/>
      <c r="AA23" s="9"/>
      <c r="AB23" s="9"/>
      <c r="AC23" s="10"/>
      <c r="AD23" s="11"/>
      <c r="AE23" s="11"/>
      <c r="AF23" s="10"/>
      <c r="AG23" s="11"/>
      <c r="AH23" s="10"/>
      <c r="AI23" s="7">
        <f>ROUND(AI19*17%,0)</f>
        <v>237</v>
      </c>
      <c r="AJ23" s="250">
        <v>299.14</v>
      </c>
      <c r="AK23" s="187">
        <f t="shared" si="58"/>
        <v>70896.179999999993</v>
      </c>
      <c r="AL23" s="7"/>
      <c r="AM23" s="7">
        <f t="shared" si="59"/>
        <v>156.42000000000002</v>
      </c>
      <c r="AN23" s="7"/>
      <c r="AO23" s="11"/>
      <c r="AP23" s="10"/>
      <c r="AQ23" s="7"/>
      <c r="AR23" s="7"/>
      <c r="AS23" s="7"/>
      <c r="AT23" s="7"/>
      <c r="AU23" s="12"/>
      <c r="AV23" s="12"/>
      <c r="AW23" s="10"/>
      <c r="AX23" s="11"/>
      <c r="AY23" s="7"/>
      <c r="AZ23" s="10"/>
      <c r="BA23" s="11"/>
      <c r="BB23" s="10"/>
      <c r="BC23" s="7">
        <v>0</v>
      </c>
      <c r="BD23" s="247">
        <v>272.26</v>
      </c>
      <c r="BE23" s="187">
        <f t="shared" si="24"/>
        <v>0</v>
      </c>
      <c r="BF23" s="7"/>
      <c r="BG23" s="7">
        <f t="shared" si="25"/>
        <v>0</v>
      </c>
      <c r="BH23" s="7"/>
      <c r="BI23" s="11"/>
      <c r="BJ23" s="10"/>
      <c r="BK23" s="7"/>
      <c r="BL23" s="7"/>
      <c r="BM23" s="7"/>
      <c r="BN23" s="7"/>
      <c r="BO23" s="11"/>
      <c r="BP23" s="11"/>
      <c r="BQ23" s="11"/>
      <c r="BR23" s="11"/>
      <c r="BS23" s="11"/>
      <c r="BT23" s="7"/>
      <c r="BU23" s="11"/>
      <c r="BV23" s="11"/>
      <c r="BW23" s="11"/>
      <c r="BX23" s="7">
        <v>0</v>
      </c>
      <c r="BY23" s="247">
        <v>0</v>
      </c>
      <c r="BZ23" s="187">
        <v>0</v>
      </c>
      <c r="CA23" s="7">
        <v>0</v>
      </c>
      <c r="CB23" s="7">
        <v>0</v>
      </c>
      <c r="CC23" s="7"/>
      <c r="CD23" s="11"/>
      <c r="CE23" s="7"/>
      <c r="CF23" s="7"/>
      <c r="CG23" s="7"/>
      <c r="CH23" s="7"/>
      <c r="CI23" s="13">
        <v>0</v>
      </c>
      <c r="CJ23" s="189">
        <v>0</v>
      </c>
      <c r="CK23" s="13">
        <v>0</v>
      </c>
      <c r="CL23" s="13" t="s">
        <v>135</v>
      </c>
      <c r="CM23" s="13">
        <v>1440</v>
      </c>
      <c r="CN23" s="14">
        <v>150596</v>
      </c>
      <c r="CO23" s="13">
        <v>64</v>
      </c>
      <c r="CP23" s="189">
        <v>2249.79</v>
      </c>
      <c r="CQ23" s="13">
        <f t="shared" si="35"/>
        <v>143986.56</v>
      </c>
      <c r="CR23" s="13">
        <v>0</v>
      </c>
      <c r="CS23" s="189">
        <v>445.51</v>
      </c>
      <c r="CT23" s="13">
        <f t="shared" si="54"/>
        <v>0</v>
      </c>
      <c r="CU23" s="13">
        <v>0</v>
      </c>
      <c r="CV23" s="189">
        <v>2249.79</v>
      </c>
      <c r="CW23" s="13">
        <f t="shared" si="36"/>
        <v>0</v>
      </c>
      <c r="CX23" s="13">
        <v>8</v>
      </c>
      <c r="CY23" s="189">
        <v>2249.79</v>
      </c>
      <c r="CZ23" s="13">
        <f t="shared" si="37"/>
        <v>17998.32</v>
      </c>
      <c r="DA23" s="13">
        <v>160</v>
      </c>
      <c r="DB23" s="189">
        <v>464.26</v>
      </c>
      <c r="DC23" s="13">
        <f t="shared" si="38"/>
        <v>74281.600000000006</v>
      </c>
      <c r="DD23" s="13">
        <v>7</v>
      </c>
      <c r="DE23" s="189">
        <v>2249.79</v>
      </c>
      <c r="DF23" s="13">
        <f t="shared" si="39"/>
        <v>15748.529999999999</v>
      </c>
      <c r="DG23" s="13">
        <v>0</v>
      </c>
      <c r="DH23" s="189">
        <v>2249.79</v>
      </c>
      <c r="DI23" s="13">
        <f t="shared" si="40"/>
        <v>0</v>
      </c>
      <c r="DJ23" s="13">
        <v>0</v>
      </c>
      <c r="DK23" s="13">
        <v>504.26</v>
      </c>
      <c r="DL23" s="13">
        <f t="shared" si="41"/>
        <v>0</v>
      </c>
      <c r="DM23" s="13">
        <v>0</v>
      </c>
      <c r="DN23" s="189">
        <v>2249.79</v>
      </c>
      <c r="DO23" s="16">
        <f t="shared" si="42"/>
        <v>0</v>
      </c>
      <c r="DP23" s="196"/>
    </row>
    <row r="24" spans="1:120" ht="48.75" customHeight="1" x14ac:dyDescent="0.25">
      <c r="A24" s="17" t="s">
        <v>44</v>
      </c>
      <c r="B24" s="9"/>
      <c r="C24" s="19" t="s">
        <v>49</v>
      </c>
      <c r="D24" s="9"/>
      <c r="E24" s="10"/>
      <c r="F24" s="11"/>
      <c r="G24" s="18"/>
      <c r="H24" s="10"/>
      <c r="I24" s="18"/>
      <c r="J24" s="10"/>
      <c r="K24" s="7">
        <v>0</v>
      </c>
      <c r="L24" s="241">
        <v>299.54000000000002</v>
      </c>
      <c r="M24" s="187">
        <f t="shared" si="60"/>
        <v>0</v>
      </c>
      <c r="N24" s="7"/>
      <c r="O24" s="7">
        <v>0</v>
      </c>
      <c r="P24" s="7"/>
      <c r="Q24" s="18"/>
      <c r="R24" s="188"/>
      <c r="S24" s="7"/>
      <c r="T24" s="7"/>
      <c r="U24" s="7"/>
      <c r="V24" s="7"/>
      <c r="W24" s="7">
        <f t="shared" si="8"/>
        <v>0</v>
      </c>
      <c r="X24" s="247">
        <v>14</v>
      </c>
      <c r="Y24" s="187">
        <f t="shared" si="9"/>
        <v>0</v>
      </c>
      <c r="Z24" s="9"/>
      <c r="AA24" s="9"/>
      <c r="AB24" s="9"/>
      <c r="AC24" s="10"/>
      <c r="AD24" s="11"/>
      <c r="AE24" s="11"/>
      <c r="AF24" s="10"/>
      <c r="AG24" s="11"/>
      <c r="AH24" s="10"/>
      <c r="AI24" s="7">
        <v>0</v>
      </c>
      <c r="AJ24" s="250">
        <v>299.14</v>
      </c>
      <c r="AK24" s="187">
        <f t="shared" si="58"/>
        <v>0</v>
      </c>
      <c r="AL24" s="7"/>
      <c r="AM24" s="7">
        <f t="shared" si="59"/>
        <v>0</v>
      </c>
      <c r="AN24" s="7"/>
      <c r="AO24" s="11"/>
      <c r="AP24" s="10"/>
      <c r="AQ24" s="7"/>
      <c r="AR24" s="7"/>
      <c r="AS24" s="7"/>
      <c r="AT24" s="7"/>
      <c r="AU24" s="12"/>
      <c r="AV24" s="12"/>
      <c r="AW24" s="10"/>
      <c r="AX24" s="11"/>
      <c r="AY24" s="7"/>
      <c r="AZ24" s="10"/>
      <c r="BA24" s="11"/>
      <c r="BB24" s="10"/>
      <c r="BC24" s="7">
        <v>0</v>
      </c>
      <c r="BD24" s="247">
        <v>272.26</v>
      </c>
      <c r="BE24" s="187">
        <f t="shared" si="24"/>
        <v>0</v>
      </c>
      <c r="BF24" s="7"/>
      <c r="BG24" s="7">
        <f t="shared" si="25"/>
        <v>0</v>
      </c>
      <c r="BH24" s="7"/>
      <c r="BI24" s="11"/>
      <c r="BJ24" s="10"/>
      <c r="BK24" s="7"/>
      <c r="BL24" s="7"/>
      <c r="BM24" s="7"/>
      <c r="BN24" s="7"/>
      <c r="BO24" s="11"/>
      <c r="BP24" s="11"/>
      <c r="BQ24" s="11"/>
      <c r="BR24" s="11"/>
      <c r="BS24" s="11"/>
      <c r="BT24" s="7"/>
      <c r="BU24" s="11"/>
      <c r="BV24" s="11"/>
      <c r="BW24" s="11"/>
      <c r="BX24" s="7">
        <v>0</v>
      </c>
      <c r="BY24" s="247">
        <v>0</v>
      </c>
      <c r="BZ24" s="187">
        <v>0</v>
      </c>
      <c r="CA24" s="7">
        <v>0</v>
      </c>
      <c r="CB24" s="7">
        <v>0</v>
      </c>
      <c r="CC24" s="7"/>
      <c r="CD24" s="11"/>
      <c r="CE24" s="7"/>
      <c r="CF24" s="7"/>
      <c r="CG24" s="7"/>
      <c r="CH24" s="7"/>
      <c r="CI24" s="13">
        <v>0</v>
      </c>
      <c r="CJ24" s="189">
        <v>0</v>
      </c>
      <c r="CK24" s="13">
        <v>0</v>
      </c>
      <c r="CL24" s="13"/>
      <c r="CM24" s="13">
        <v>1440</v>
      </c>
      <c r="CN24" s="14">
        <v>0</v>
      </c>
      <c r="CO24" s="13">
        <v>0</v>
      </c>
      <c r="CP24" s="189">
        <v>2249.79</v>
      </c>
      <c r="CQ24" s="13">
        <f t="shared" si="35"/>
        <v>0</v>
      </c>
      <c r="CR24" s="13">
        <v>0</v>
      </c>
      <c r="CS24" s="189">
        <v>445.51</v>
      </c>
      <c r="CT24" s="13">
        <f t="shared" si="54"/>
        <v>0</v>
      </c>
      <c r="CU24" s="13">
        <v>0</v>
      </c>
      <c r="CV24" s="189">
        <v>2249.79</v>
      </c>
      <c r="CW24" s="13">
        <f t="shared" si="36"/>
        <v>0</v>
      </c>
      <c r="CX24" s="13">
        <v>0</v>
      </c>
      <c r="CY24" s="189">
        <v>2249.79</v>
      </c>
      <c r="CZ24" s="13">
        <f t="shared" si="37"/>
        <v>0</v>
      </c>
      <c r="DA24" s="13">
        <v>0</v>
      </c>
      <c r="DB24" s="189">
        <v>464.26</v>
      </c>
      <c r="DC24" s="13">
        <f t="shared" si="38"/>
        <v>0</v>
      </c>
      <c r="DD24" s="13">
        <v>0</v>
      </c>
      <c r="DE24" s="189">
        <v>2249.79</v>
      </c>
      <c r="DF24" s="13">
        <f t="shared" si="39"/>
        <v>0</v>
      </c>
      <c r="DG24" s="13">
        <v>0</v>
      </c>
      <c r="DH24" s="189">
        <v>2249.79</v>
      </c>
      <c r="DI24" s="13">
        <f t="shared" si="40"/>
        <v>0</v>
      </c>
      <c r="DJ24" s="13">
        <v>0</v>
      </c>
      <c r="DK24" s="13">
        <v>504.26</v>
      </c>
      <c r="DL24" s="13">
        <f t="shared" si="41"/>
        <v>0</v>
      </c>
      <c r="DM24" s="13">
        <v>0</v>
      </c>
      <c r="DN24" s="189">
        <v>2249.79</v>
      </c>
      <c r="DO24" s="16">
        <f t="shared" si="42"/>
        <v>0</v>
      </c>
      <c r="DP24" s="196"/>
    </row>
    <row r="25" spans="1:120" s="143" customFormat="1" x14ac:dyDescent="0.25">
      <c r="A25" s="218" t="s">
        <v>50</v>
      </c>
      <c r="B25" s="112">
        <v>4460</v>
      </c>
      <c r="C25" s="220"/>
      <c r="D25" s="112">
        <v>3200</v>
      </c>
      <c r="E25" s="113">
        <f t="shared" ref="E25:E41" si="62">B25/D25</f>
        <v>1.39375</v>
      </c>
      <c r="F25" s="114">
        <v>3</v>
      </c>
      <c r="G25" s="115">
        <v>3000</v>
      </c>
      <c r="H25" s="113">
        <f t="shared" si="0"/>
        <v>0.9375</v>
      </c>
      <c r="I25" s="115">
        <v>3000</v>
      </c>
      <c r="J25" s="113">
        <f t="shared" si="1"/>
        <v>0.9375</v>
      </c>
      <c r="K25" s="115">
        <f t="shared" si="43"/>
        <v>2280</v>
      </c>
      <c r="L25" s="241">
        <v>299.54000000000002</v>
      </c>
      <c r="M25" s="119">
        <f t="shared" si="2"/>
        <v>682951.20000000007</v>
      </c>
      <c r="N25" s="115">
        <f t="shared" si="3"/>
        <v>2400</v>
      </c>
      <c r="O25" s="115">
        <f t="shared" si="44"/>
        <v>1322.3999999999999</v>
      </c>
      <c r="P25" s="115">
        <f t="shared" si="45"/>
        <v>2190</v>
      </c>
      <c r="Q25" s="115">
        <f>I25</f>
        <v>3000</v>
      </c>
      <c r="R25" s="116">
        <f t="shared" si="4"/>
        <v>0.9375</v>
      </c>
      <c r="S25" s="115">
        <f t="shared" si="5"/>
        <v>2280</v>
      </c>
      <c r="T25" s="115">
        <f t="shared" si="6"/>
        <v>2400</v>
      </c>
      <c r="U25" s="115">
        <f t="shared" si="46"/>
        <v>1322.3999999999999</v>
      </c>
      <c r="V25" s="115">
        <f t="shared" si="7"/>
        <v>2190</v>
      </c>
      <c r="W25" s="115">
        <f t="shared" si="8"/>
        <v>159.60000000000002</v>
      </c>
      <c r="X25" s="246">
        <v>14</v>
      </c>
      <c r="Y25" s="119">
        <f t="shared" si="9"/>
        <v>2234.4000000000005</v>
      </c>
      <c r="Z25" s="112">
        <v>733</v>
      </c>
      <c r="AA25" s="112"/>
      <c r="AB25" s="112">
        <v>800</v>
      </c>
      <c r="AC25" s="113">
        <f t="shared" si="10"/>
        <v>0.91625000000000001</v>
      </c>
      <c r="AD25" s="114">
        <v>2</v>
      </c>
      <c r="AE25" s="115">
        <f>$AB25*60%</f>
        <v>480</v>
      </c>
      <c r="AF25" s="113">
        <f t="shared" si="11"/>
        <v>0.6</v>
      </c>
      <c r="AG25" s="117">
        <f>AE25</f>
        <v>480</v>
      </c>
      <c r="AH25" s="113">
        <f t="shared" si="12"/>
        <v>0.6</v>
      </c>
      <c r="AI25" s="115">
        <f t="shared" si="47"/>
        <v>360</v>
      </c>
      <c r="AJ25" s="250">
        <v>299.14</v>
      </c>
      <c r="AK25" s="119">
        <f t="shared" si="13"/>
        <v>107690.4</v>
      </c>
      <c r="AL25" s="115">
        <f t="shared" si="14"/>
        <v>388.8</v>
      </c>
      <c r="AM25" s="115">
        <f t="shared" si="15"/>
        <v>237.60000000000002</v>
      </c>
      <c r="AN25" s="115">
        <f t="shared" si="16"/>
        <v>408</v>
      </c>
      <c r="AO25" s="117">
        <f>AB25*61%</f>
        <v>488</v>
      </c>
      <c r="AP25" s="113">
        <f t="shared" si="18"/>
        <v>0.61</v>
      </c>
      <c r="AQ25" s="115">
        <f t="shared" si="48"/>
        <v>366</v>
      </c>
      <c r="AR25" s="115">
        <f t="shared" si="49"/>
        <v>395.28000000000003</v>
      </c>
      <c r="AS25" s="115">
        <f t="shared" si="19"/>
        <v>248.88000000000002</v>
      </c>
      <c r="AT25" s="115">
        <f t="shared" si="20"/>
        <v>429.44</v>
      </c>
      <c r="AU25" s="118">
        <v>222</v>
      </c>
      <c r="AV25" s="118">
        <v>3700</v>
      </c>
      <c r="AW25" s="113">
        <f t="shared" si="21"/>
        <v>0.06</v>
      </c>
      <c r="AX25" s="114">
        <v>2</v>
      </c>
      <c r="AY25" s="115">
        <f>AV25*6%</f>
        <v>222</v>
      </c>
      <c r="AZ25" s="113">
        <f t="shared" si="22"/>
        <v>0.06</v>
      </c>
      <c r="BA25" s="114">
        <f>AV25*10%</f>
        <v>370</v>
      </c>
      <c r="BB25" s="113">
        <f t="shared" si="23"/>
        <v>0.1</v>
      </c>
      <c r="BC25" s="115">
        <f t="shared" si="50"/>
        <v>259</v>
      </c>
      <c r="BD25" s="247">
        <v>272.26</v>
      </c>
      <c r="BE25" s="119">
        <f t="shared" si="24"/>
        <v>70515.34</v>
      </c>
      <c r="BF25" s="115">
        <f t="shared" si="51"/>
        <v>266.39999999999998</v>
      </c>
      <c r="BG25" s="115">
        <f t="shared" si="25"/>
        <v>178.70999999999998</v>
      </c>
      <c r="BH25" s="115">
        <f t="shared" si="26"/>
        <v>307.09999999999997</v>
      </c>
      <c r="BI25" s="114">
        <v>524</v>
      </c>
      <c r="BJ25" s="113">
        <f t="shared" si="27"/>
        <v>0.14162162162162162</v>
      </c>
      <c r="BK25" s="115">
        <f t="shared" si="52"/>
        <v>372.03999999999996</v>
      </c>
      <c r="BL25" s="115">
        <f t="shared" si="53"/>
        <v>377.28</v>
      </c>
      <c r="BM25" s="115">
        <f t="shared" si="28"/>
        <v>256.70759999999996</v>
      </c>
      <c r="BN25" s="115">
        <f t="shared" si="29"/>
        <v>434.91999999999996</v>
      </c>
      <c r="BO25" s="114"/>
      <c r="BP25" s="114"/>
      <c r="BQ25" s="114"/>
      <c r="BR25" s="114">
        <v>17</v>
      </c>
      <c r="BS25" s="114">
        <f>1000*12.5%</f>
        <v>125</v>
      </c>
      <c r="BT25" s="114">
        <f>2000*9.3%</f>
        <v>186.00000000000003</v>
      </c>
      <c r="BU25" s="114">
        <v>20</v>
      </c>
      <c r="BV25" s="114">
        <v>25</v>
      </c>
      <c r="BW25" s="114">
        <v>20</v>
      </c>
      <c r="BX25" s="115">
        <f t="shared" ref="BX25:BX85" si="63">BW25*66%</f>
        <v>13.200000000000001</v>
      </c>
      <c r="BY25" s="247">
        <v>385.36</v>
      </c>
      <c r="BZ25" s="119">
        <f t="shared" si="30"/>
        <v>5086.7520000000004</v>
      </c>
      <c r="CA25" s="115">
        <f t="shared" si="55"/>
        <v>14.399999999999999</v>
      </c>
      <c r="CB25" s="115">
        <f t="shared" si="31"/>
        <v>9.1080000000000005</v>
      </c>
      <c r="CC25" s="115">
        <f t="shared" si="32"/>
        <v>16.599999999999998</v>
      </c>
      <c r="CD25" s="114">
        <f>BW25*1.6</f>
        <v>32</v>
      </c>
      <c r="CE25" s="115">
        <f t="shared" si="56"/>
        <v>21.12</v>
      </c>
      <c r="CF25" s="115">
        <f t="shared" si="57"/>
        <v>23.04</v>
      </c>
      <c r="CG25" s="115">
        <f t="shared" si="33"/>
        <v>14.572799999999999</v>
      </c>
      <c r="CH25" s="115">
        <f t="shared" si="34"/>
        <v>26.56</v>
      </c>
      <c r="CI25" s="139">
        <v>0</v>
      </c>
      <c r="CJ25" s="140">
        <v>0</v>
      </c>
      <c r="CK25" s="139">
        <f t="shared" ref="CK25:CK81" si="64">CJ25*CI25</f>
        <v>0</v>
      </c>
      <c r="CL25" s="139"/>
      <c r="CM25" s="139">
        <v>1440</v>
      </c>
      <c r="CN25" s="185">
        <v>150596</v>
      </c>
      <c r="CO25" s="139">
        <v>0</v>
      </c>
      <c r="CP25" s="140">
        <v>2249.79</v>
      </c>
      <c r="CQ25" s="139">
        <f t="shared" si="35"/>
        <v>0</v>
      </c>
      <c r="CR25" s="139">
        <v>0</v>
      </c>
      <c r="CS25" s="140">
        <v>445.51</v>
      </c>
      <c r="CT25" s="139">
        <f t="shared" si="54"/>
        <v>0</v>
      </c>
      <c r="CU25" s="139">
        <v>0</v>
      </c>
      <c r="CV25" s="140">
        <v>2249.79</v>
      </c>
      <c r="CW25" s="139">
        <f t="shared" si="36"/>
        <v>0</v>
      </c>
      <c r="CX25" s="139">
        <v>0</v>
      </c>
      <c r="CY25" s="140">
        <v>2249.79</v>
      </c>
      <c r="CZ25" s="139">
        <f t="shared" si="37"/>
        <v>0</v>
      </c>
      <c r="DA25" s="139">
        <v>0</v>
      </c>
      <c r="DB25" s="140">
        <v>464.26</v>
      </c>
      <c r="DC25" s="139">
        <f t="shared" si="38"/>
        <v>0</v>
      </c>
      <c r="DD25" s="139">
        <v>0</v>
      </c>
      <c r="DE25" s="140">
        <v>2249.79</v>
      </c>
      <c r="DF25" s="139">
        <f t="shared" si="39"/>
        <v>0</v>
      </c>
      <c r="DG25" s="139">
        <v>0</v>
      </c>
      <c r="DH25" s="140">
        <v>2249.79</v>
      </c>
      <c r="DI25" s="139">
        <f t="shared" si="40"/>
        <v>0</v>
      </c>
      <c r="DJ25" s="139">
        <v>0</v>
      </c>
      <c r="DK25" s="139">
        <v>504.26</v>
      </c>
      <c r="DL25" s="139">
        <f t="shared" si="41"/>
        <v>0</v>
      </c>
      <c r="DM25" s="139">
        <v>0</v>
      </c>
      <c r="DN25" s="140">
        <v>2249.79</v>
      </c>
      <c r="DO25" s="205">
        <f t="shared" si="42"/>
        <v>0</v>
      </c>
      <c r="DP25" s="197"/>
    </row>
    <row r="26" spans="1:120" ht="25.5" x14ac:dyDescent="0.25">
      <c r="A26" s="17" t="s">
        <v>50</v>
      </c>
      <c r="B26" s="9"/>
      <c r="C26" s="19" t="s">
        <v>40</v>
      </c>
      <c r="D26" s="9"/>
      <c r="E26" s="10"/>
      <c r="F26" s="11"/>
      <c r="G26" s="7"/>
      <c r="H26" s="10"/>
      <c r="I26" s="7"/>
      <c r="J26" s="10"/>
      <c r="K26" s="7">
        <v>0</v>
      </c>
      <c r="L26" s="241">
        <v>299.54000000000002</v>
      </c>
      <c r="M26" s="187">
        <v>0</v>
      </c>
      <c r="N26" s="7"/>
      <c r="O26" s="7">
        <v>0</v>
      </c>
      <c r="P26" s="7"/>
      <c r="Q26" s="7"/>
      <c r="R26" s="188"/>
      <c r="S26" s="7"/>
      <c r="T26" s="7"/>
      <c r="U26" s="7"/>
      <c r="V26" s="7"/>
      <c r="W26" s="7">
        <f t="shared" si="8"/>
        <v>0</v>
      </c>
      <c r="X26" s="247">
        <v>14</v>
      </c>
      <c r="Y26" s="187">
        <f t="shared" si="9"/>
        <v>0</v>
      </c>
      <c r="Z26" s="9"/>
      <c r="AA26" s="9"/>
      <c r="AB26" s="9"/>
      <c r="AC26" s="10"/>
      <c r="AD26" s="11"/>
      <c r="AE26" s="7"/>
      <c r="AF26" s="10"/>
      <c r="AG26" s="18"/>
      <c r="AH26" s="10"/>
      <c r="AI26" s="7">
        <v>0</v>
      </c>
      <c r="AJ26" s="250">
        <v>299.14</v>
      </c>
      <c r="AK26" s="187">
        <v>0</v>
      </c>
      <c r="AL26" s="7"/>
      <c r="AM26" s="7">
        <v>0</v>
      </c>
      <c r="AN26" s="7"/>
      <c r="AO26" s="18"/>
      <c r="AP26" s="10"/>
      <c r="AQ26" s="7"/>
      <c r="AR26" s="7"/>
      <c r="AS26" s="7"/>
      <c r="AT26" s="7"/>
      <c r="AU26" s="12"/>
      <c r="AV26" s="12"/>
      <c r="AW26" s="10"/>
      <c r="AX26" s="11"/>
      <c r="AY26" s="7"/>
      <c r="AZ26" s="10"/>
      <c r="BA26" s="11"/>
      <c r="BB26" s="10"/>
      <c r="BC26" s="7">
        <f>BC25</f>
        <v>259</v>
      </c>
      <c r="BD26" s="247">
        <v>272.26</v>
      </c>
      <c r="BE26" s="187">
        <f>BC26*BD26</f>
        <v>70515.34</v>
      </c>
      <c r="BF26" s="7"/>
      <c r="BG26" s="7">
        <f>BC26*69%</f>
        <v>178.70999999999998</v>
      </c>
      <c r="BH26" s="7"/>
      <c r="BI26" s="11"/>
      <c r="BJ26" s="10"/>
      <c r="BK26" s="7"/>
      <c r="BL26" s="7"/>
      <c r="BM26" s="7"/>
      <c r="BN26" s="7"/>
      <c r="BO26" s="11"/>
      <c r="BP26" s="11"/>
      <c r="BQ26" s="11"/>
      <c r="BR26" s="11"/>
      <c r="BS26" s="11"/>
      <c r="BT26" s="11"/>
      <c r="BU26" s="11"/>
      <c r="BV26" s="11"/>
      <c r="BW26" s="11"/>
      <c r="BX26" s="7">
        <v>0</v>
      </c>
      <c r="BY26" s="247">
        <v>0</v>
      </c>
      <c r="BZ26" s="187">
        <v>0</v>
      </c>
      <c r="CA26" s="7">
        <v>0</v>
      </c>
      <c r="CB26" s="7">
        <v>0</v>
      </c>
      <c r="CC26" s="7"/>
      <c r="CD26" s="11"/>
      <c r="CE26" s="7"/>
      <c r="CF26" s="7"/>
      <c r="CG26" s="7"/>
      <c r="CH26" s="7"/>
      <c r="CI26" s="13">
        <v>0</v>
      </c>
      <c r="CJ26" s="189">
        <v>0</v>
      </c>
      <c r="CK26" s="13">
        <f t="shared" si="64"/>
        <v>0</v>
      </c>
      <c r="CL26" s="13"/>
      <c r="CM26" s="13">
        <v>1440</v>
      </c>
      <c r="CN26" s="14">
        <v>0</v>
      </c>
      <c r="CO26" s="13">
        <v>0</v>
      </c>
      <c r="CP26" s="189">
        <v>2249.79</v>
      </c>
      <c r="CQ26" s="13">
        <f t="shared" si="35"/>
        <v>0</v>
      </c>
      <c r="CR26" s="13">
        <v>0</v>
      </c>
      <c r="CS26" s="189">
        <v>445.51</v>
      </c>
      <c r="CT26" s="13">
        <f t="shared" si="54"/>
        <v>0</v>
      </c>
      <c r="CU26" s="13">
        <v>0</v>
      </c>
      <c r="CV26" s="189">
        <v>2249.79</v>
      </c>
      <c r="CW26" s="13">
        <f t="shared" si="36"/>
        <v>0</v>
      </c>
      <c r="CX26" s="13">
        <v>0</v>
      </c>
      <c r="CY26" s="189">
        <v>2249.79</v>
      </c>
      <c r="CZ26" s="13">
        <f t="shared" si="37"/>
        <v>0</v>
      </c>
      <c r="DA26" s="13">
        <v>0</v>
      </c>
      <c r="DB26" s="189">
        <v>464.26</v>
      </c>
      <c r="DC26" s="13">
        <f t="shared" si="38"/>
        <v>0</v>
      </c>
      <c r="DD26" s="13">
        <v>0</v>
      </c>
      <c r="DE26" s="189">
        <v>2249.79</v>
      </c>
      <c r="DF26" s="13">
        <f t="shared" si="39"/>
        <v>0</v>
      </c>
      <c r="DG26" s="13">
        <v>0</v>
      </c>
      <c r="DH26" s="189">
        <v>2249.79</v>
      </c>
      <c r="DI26" s="13">
        <f t="shared" si="40"/>
        <v>0</v>
      </c>
      <c r="DJ26" s="13">
        <v>0</v>
      </c>
      <c r="DK26" s="13">
        <v>504.26</v>
      </c>
      <c r="DL26" s="13">
        <f t="shared" si="41"/>
        <v>0</v>
      </c>
      <c r="DM26" s="13">
        <v>0</v>
      </c>
      <c r="DN26" s="189">
        <v>2249.79</v>
      </c>
      <c r="DO26" s="16">
        <f t="shared" si="42"/>
        <v>0</v>
      </c>
      <c r="DP26" s="196"/>
    </row>
    <row r="27" spans="1:120" ht="25.5" x14ac:dyDescent="0.25">
      <c r="A27" s="17" t="s">
        <v>50</v>
      </c>
      <c r="B27" s="9"/>
      <c r="C27" s="19" t="s">
        <v>51</v>
      </c>
      <c r="D27" s="9"/>
      <c r="E27" s="10"/>
      <c r="F27" s="11"/>
      <c r="G27" s="7"/>
      <c r="H27" s="10"/>
      <c r="I27" s="7"/>
      <c r="J27" s="10"/>
      <c r="K27" s="7">
        <f>K25*1</f>
        <v>2280</v>
      </c>
      <c r="L27" s="241">
        <v>299.54000000000002</v>
      </c>
      <c r="M27" s="187">
        <f>K27*L27</f>
        <v>682951.20000000007</v>
      </c>
      <c r="N27" s="7"/>
      <c r="O27" s="7">
        <f>O25</f>
        <v>1322.3999999999999</v>
      </c>
      <c r="P27" s="7"/>
      <c r="Q27" s="7"/>
      <c r="R27" s="188"/>
      <c r="S27" s="7"/>
      <c r="T27" s="7"/>
      <c r="U27" s="7"/>
      <c r="V27" s="7"/>
      <c r="W27" s="7">
        <f t="shared" si="8"/>
        <v>159.60000000000002</v>
      </c>
      <c r="X27" s="247">
        <v>14</v>
      </c>
      <c r="Y27" s="187">
        <f t="shared" si="9"/>
        <v>2234.4000000000005</v>
      </c>
      <c r="Z27" s="9"/>
      <c r="AA27" s="9"/>
      <c r="AB27" s="9"/>
      <c r="AC27" s="10"/>
      <c r="AD27" s="11"/>
      <c r="AE27" s="7"/>
      <c r="AF27" s="10"/>
      <c r="AG27" s="18"/>
      <c r="AH27" s="10"/>
      <c r="AI27" s="7">
        <f>AI25*1</f>
        <v>360</v>
      </c>
      <c r="AJ27" s="250">
        <v>299.14</v>
      </c>
      <c r="AK27" s="187">
        <f>AI27*AJ27</f>
        <v>107690.4</v>
      </c>
      <c r="AL27" s="7"/>
      <c r="AM27" s="7">
        <f>AM25*1</f>
        <v>237.60000000000002</v>
      </c>
      <c r="AN27" s="7"/>
      <c r="AO27" s="18"/>
      <c r="AP27" s="10"/>
      <c r="AQ27" s="7"/>
      <c r="AR27" s="7"/>
      <c r="AS27" s="7"/>
      <c r="AT27" s="7"/>
      <c r="AU27" s="12"/>
      <c r="AV27" s="12"/>
      <c r="AW27" s="10"/>
      <c r="AX27" s="11"/>
      <c r="AY27" s="7"/>
      <c r="AZ27" s="10"/>
      <c r="BA27" s="11"/>
      <c r="BB27" s="10"/>
      <c r="BC27" s="7">
        <v>0</v>
      </c>
      <c r="BD27" s="247">
        <v>272.26</v>
      </c>
      <c r="BE27" s="187">
        <v>0</v>
      </c>
      <c r="BF27" s="7"/>
      <c r="BG27" s="7">
        <v>0</v>
      </c>
      <c r="BH27" s="7"/>
      <c r="BI27" s="11"/>
      <c r="BJ27" s="10"/>
      <c r="BK27" s="7"/>
      <c r="BL27" s="7"/>
      <c r="BM27" s="7"/>
      <c r="BN27" s="7"/>
      <c r="BO27" s="11"/>
      <c r="BP27" s="11"/>
      <c r="BQ27" s="11"/>
      <c r="BR27" s="11"/>
      <c r="BS27" s="11"/>
      <c r="BT27" s="11"/>
      <c r="BU27" s="11"/>
      <c r="BV27" s="11"/>
      <c r="BW27" s="11"/>
      <c r="BX27" s="7">
        <f>BX25</f>
        <v>13.200000000000001</v>
      </c>
      <c r="BY27" s="247">
        <v>385.36</v>
      </c>
      <c r="BZ27" s="187">
        <f>BX27*BY27</f>
        <v>5086.7520000000004</v>
      </c>
      <c r="CA27" s="7"/>
      <c r="CB27" s="7">
        <f>CB25</f>
        <v>9.1080000000000005</v>
      </c>
      <c r="CC27" s="7"/>
      <c r="CD27" s="11"/>
      <c r="CE27" s="7"/>
      <c r="CF27" s="7"/>
      <c r="CG27" s="7"/>
      <c r="CH27" s="7"/>
      <c r="CI27" s="13">
        <v>0</v>
      </c>
      <c r="CJ27" s="189">
        <v>0</v>
      </c>
      <c r="CK27" s="13">
        <f t="shared" si="64"/>
        <v>0</v>
      </c>
      <c r="CL27" s="13" t="s">
        <v>135</v>
      </c>
      <c r="CM27" s="13">
        <v>1440</v>
      </c>
      <c r="CN27" s="14">
        <v>150596</v>
      </c>
      <c r="CO27" s="13">
        <v>0</v>
      </c>
      <c r="CP27" s="189">
        <v>2249.79</v>
      </c>
      <c r="CQ27" s="13">
        <f t="shared" si="35"/>
        <v>0</v>
      </c>
      <c r="CR27" s="13">
        <v>0</v>
      </c>
      <c r="CS27" s="189">
        <v>445.51</v>
      </c>
      <c r="CT27" s="13">
        <f t="shared" si="54"/>
        <v>0</v>
      </c>
      <c r="CU27" s="13">
        <v>0</v>
      </c>
      <c r="CV27" s="189">
        <v>2249.79</v>
      </c>
      <c r="CW27" s="13">
        <f t="shared" si="36"/>
        <v>0</v>
      </c>
      <c r="CX27" s="13">
        <v>0</v>
      </c>
      <c r="CY27" s="189">
        <v>2249.79</v>
      </c>
      <c r="CZ27" s="13">
        <f t="shared" si="37"/>
        <v>0</v>
      </c>
      <c r="DA27" s="13">
        <v>0</v>
      </c>
      <c r="DB27" s="189">
        <v>464.26</v>
      </c>
      <c r="DC27" s="13">
        <f t="shared" si="38"/>
        <v>0</v>
      </c>
      <c r="DD27" s="13">
        <v>0</v>
      </c>
      <c r="DE27" s="189">
        <v>2249.79</v>
      </c>
      <c r="DF27" s="13">
        <f t="shared" si="39"/>
        <v>0</v>
      </c>
      <c r="DG27" s="13">
        <v>0</v>
      </c>
      <c r="DH27" s="189">
        <v>2249.79</v>
      </c>
      <c r="DI27" s="13">
        <f t="shared" si="40"/>
        <v>0</v>
      </c>
      <c r="DJ27" s="13">
        <v>0</v>
      </c>
      <c r="DK27" s="13">
        <v>504.26</v>
      </c>
      <c r="DL27" s="13">
        <f t="shared" si="41"/>
        <v>0</v>
      </c>
      <c r="DM27" s="13">
        <v>0</v>
      </c>
      <c r="DN27" s="189">
        <v>2249.79</v>
      </c>
      <c r="DO27" s="16">
        <f t="shared" si="42"/>
        <v>0</v>
      </c>
      <c r="DP27" s="196"/>
    </row>
    <row r="28" spans="1:120" s="143" customFormat="1" x14ac:dyDescent="0.25">
      <c r="A28" s="218" t="s">
        <v>52</v>
      </c>
      <c r="B28" s="112">
        <v>828</v>
      </c>
      <c r="C28" s="220"/>
      <c r="D28" s="112">
        <v>2600</v>
      </c>
      <c r="E28" s="113">
        <f t="shared" si="62"/>
        <v>0.31846153846153846</v>
      </c>
      <c r="F28" s="114">
        <v>-6</v>
      </c>
      <c r="G28" s="115">
        <f>$B28*$G$98/$B$95</f>
        <v>665.8978001272967</v>
      </c>
      <c r="H28" s="113">
        <f t="shared" si="0"/>
        <v>0.25611453851049876</v>
      </c>
      <c r="I28" s="115">
        <f>D28*36%</f>
        <v>936</v>
      </c>
      <c r="J28" s="113">
        <f t="shared" si="1"/>
        <v>0.36</v>
      </c>
      <c r="K28" s="115">
        <f t="shared" si="43"/>
        <v>711.36</v>
      </c>
      <c r="L28" s="241">
        <v>299.54000000000002</v>
      </c>
      <c r="M28" s="119">
        <f t="shared" si="2"/>
        <v>213080.77440000002</v>
      </c>
      <c r="N28" s="115">
        <f t="shared" si="3"/>
        <v>748.80000000000007</v>
      </c>
      <c r="O28" s="115">
        <f t="shared" si="44"/>
        <v>412.58879999999999</v>
      </c>
      <c r="P28" s="115">
        <f t="shared" si="45"/>
        <v>683.28</v>
      </c>
      <c r="Q28" s="115">
        <f>D28*64%</f>
        <v>1664</v>
      </c>
      <c r="R28" s="116">
        <f t="shared" si="4"/>
        <v>0.64</v>
      </c>
      <c r="S28" s="115">
        <f t="shared" si="5"/>
        <v>1264.6400000000001</v>
      </c>
      <c r="T28" s="115">
        <f t="shared" si="6"/>
        <v>1331.2</v>
      </c>
      <c r="U28" s="115">
        <f t="shared" si="46"/>
        <v>733.49120000000005</v>
      </c>
      <c r="V28" s="115">
        <f t="shared" si="7"/>
        <v>1214.72</v>
      </c>
      <c r="W28" s="115">
        <f t="shared" si="8"/>
        <v>49.795200000000008</v>
      </c>
      <c r="X28" s="246">
        <v>14</v>
      </c>
      <c r="Y28" s="119">
        <f t="shared" si="9"/>
        <v>697.13280000000009</v>
      </c>
      <c r="Z28" s="112">
        <v>241</v>
      </c>
      <c r="AA28" s="112"/>
      <c r="AB28" s="112">
        <v>500</v>
      </c>
      <c r="AC28" s="113">
        <f t="shared" si="10"/>
        <v>0.48199999999999998</v>
      </c>
      <c r="AD28" s="114">
        <v>-3</v>
      </c>
      <c r="AE28" s="115">
        <f>$Z28</f>
        <v>241</v>
      </c>
      <c r="AF28" s="113">
        <f t="shared" si="11"/>
        <v>0.48199999999999998</v>
      </c>
      <c r="AG28" s="117">
        <f>AB28*50%</f>
        <v>250</v>
      </c>
      <c r="AH28" s="113">
        <f t="shared" si="12"/>
        <v>0.5</v>
      </c>
      <c r="AI28" s="115">
        <f t="shared" si="47"/>
        <v>187.5</v>
      </c>
      <c r="AJ28" s="250">
        <v>299.14</v>
      </c>
      <c r="AK28" s="119">
        <f t="shared" si="13"/>
        <v>56088.75</v>
      </c>
      <c r="AL28" s="115">
        <f t="shared" si="14"/>
        <v>202.5</v>
      </c>
      <c r="AM28" s="115">
        <f t="shared" si="15"/>
        <v>123.75</v>
      </c>
      <c r="AN28" s="115">
        <f t="shared" si="16"/>
        <v>212.5</v>
      </c>
      <c r="AO28" s="117">
        <f>AB28*60%</f>
        <v>300</v>
      </c>
      <c r="AP28" s="113">
        <f t="shared" si="18"/>
        <v>0.6</v>
      </c>
      <c r="AQ28" s="115">
        <f t="shared" si="48"/>
        <v>225</v>
      </c>
      <c r="AR28" s="115">
        <f t="shared" si="49"/>
        <v>243.00000000000003</v>
      </c>
      <c r="AS28" s="115">
        <f t="shared" si="19"/>
        <v>153</v>
      </c>
      <c r="AT28" s="115">
        <f t="shared" si="20"/>
        <v>264</v>
      </c>
      <c r="AU28" s="118"/>
      <c r="AV28" s="118">
        <v>3300</v>
      </c>
      <c r="AW28" s="113">
        <f t="shared" si="21"/>
        <v>0</v>
      </c>
      <c r="AX28" s="114">
        <v>-5</v>
      </c>
      <c r="AY28" s="115"/>
      <c r="AZ28" s="113"/>
      <c r="BA28" s="114"/>
      <c r="BB28" s="113"/>
      <c r="BC28" s="115">
        <v>0</v>
      </c>
      <c r="BD28" s="247">
        <v>272.26</v>
      </c>
      <c r="BE28" s="119">
        <f t="shared" si="24"/>
        <v>0</v>
      </c>
      <c r="BF28" s="115"/>
      <c r="BG28" s="115">
        <v>0</v>
      </c>
      <c r="BH28" s="115">
        <f t="shared" si="26"/>
        <v>0</v>
      </c>
      <c r="BI28" s="114"/>
      <c r="BJ28" s="113"/>
      <c r="BK28" s="115"/>
      <c r="BL28" s="115"/>
      <c r="BM28" s="115"/>
      <c r="BN28" s="115"/>
      <c r="BO28" s="114"/>
      <c r="BP28" s="114"/>
      <c r="BQ28" s="114"/>
      <c r="BR28" s="114"/>
      <c r="BS28" s="114"/>
      <c r="BT28" s="115">
        <f>900*2.7%</f>
        <v>24.300000000000004</v>
      </c>
      <c r="BU28" s="114"/>
      <c r="BV28" s="114"/>
      <c r="BW28" s="114">
        <v>0</v>
      </c>
      <c r="BX28" s="115">
        <v>0</v>
      </c>
      <c r="BY28" s="246">
        <v>0</v>
      </c>
      <c r="BZ28" s="119">
        <f t="shared" si="30"/>
        <v>0</v>
      </c>
      <c r="CA28" s="115"/>
      <c r="CB28" s="115">
        <v>0</v>
      </c>
      <c r="CC28" s="115"/>
      <c r="CD28" s="114"/>
      <c r="CE28" s="115"/>
      <c r="CF28" s="115"/>
      <c r="CG28" s="115"/>
      <c r="CH28" s="115"/>
      <c r="CI28" s="139">
        <v>0</v>
      </c>
      <c r="CJ28" s="140">
        <v>0</v>
      </c>
      <c r="CK28" s="139">
        <f t="shared" si="64"/>
        <v>0</v>
      </c>
      <c r="CL28" s="139"/>
      <c r="CM28" s="139">
        <v>1440</v>
      </c>
      <c r="CN28" s="185">
        <v>0</v>
      </c>
      <c r="CO28" s="139">
        <v>0</v>
      </c>
      <c r="CP28" s="140">
        <v>2249.79</v>
      </c>
      <c r="CQ28" s="139">
        <f t="shared" si="35"/>
        <v>0</v>
      </c>
      <c r="CR28" s="139">
        <v>0</v>
      </c>
      <c r="CS28" s="140">
        <v>445.51</v>
      </c>
      <c r="CT28" s="139">
        <f t="shared" si="54"/>
        <v>0</v>
      </c>
      <c r="CU28" s="139">
        <v>0</v>
      </c>
      <c r="CV28" s="140">
        <v>2249.79</v>
      </c>
      <c r="CW28" s="139">
        <f t="shared" si="36"/>
        <v>0</v>
      </c>
      <c r="CX28" s="139"/>
      <c r="CY28" s="140">
        <v>2249.79</v>
      </c>
      <c r="CZ28" s="139">
        <f t="shared" si="37"/>
        <v>0</v>
      </c>
      <c r="DA28" s="139">
        <v>0</v>
      </c>
      <c r="DB28" s="140">
        <v>464.26</v>
      </c>
      <c r="DC28" s="139">
        <f t="shared" si="38"/>
        <v>0</v>
      </c>
      <c r="DD28" s="139">
        <v>0</v>
      </c>
      <c r="DE28" s="140">
        <v>2249.79</v>
      </c>
      <c r="DF28" s="139">
        <f t="shared" si="39"/>
        <v>0</v>
      </c>
      <c r="DG28" s="139">
        <v>0</v>
      </c>
      <c r="DH28" s="140">
        <v>2249.79</v>
      </c>
      <c r="DI28" s="139">
        <f t="shared" si="40"/>
        <v>0</v>
      </c>
      <c r="DJ28" s="139">
        <v>0</v>
      </c>
      <c r="DK28" s="139">
        <v>504.26</v>
      </c>
      <c r="DL28" s="139">
        <f t="shared" si="41"/>
        <v>0</v>
      </c>
      <c r="DM28" s="139">
        <v>0</v>
      </c>
      <c r="DN28" s="140">
        <v>2249.79</v>
      </c>
      <c r="DO28" s="205">
        <f t="shared" si="42"/>
        <v>0</v>
      </c>
      <c r="DP28" s="197"/>
    </row>
    <row r="29" spans="1:120" s="143" customFormat="1" x14ac:dyDescent="0.25">
      <c r="A29" s="218" t="s">
        <v>53</v>
      </c>
      <c r="B29" s="112">
        <v>5884</v>
      </c>
      <c r="C29" s="220"/>
      <c r="D29" s="112">
        <v>11400</v>
      </c>
      <c r="E29" s="113">
        <f t="shared" si="62"/>
        <v>0.51614035087719301</v>
      </c>
      <c r="F29" s="114">
        <v>8</v>
      </c>
      <c r="G29" s="115">
        <f>$B29*$G$98/$B$95</f>
        <v>4732.0563477645092</v>
      </c>
      <c r="H29" s="113">
        <f t="shared" si="0"/>
        <v>0.41509266208460605</v>
      </c>
      <c r="I29" s="115">
        <f>D29*60%</f>
        <v>6840</v>
      </c>
      <c r="J29" s="113">
        <f t="shared" si="1"/>
        <v>0.6</v>
      </c>
      <c r="K29" s="115">
        <f t="shared" si="43"/>
        <v>5198.3999999999996</v>
      </c>
      <c r="L29" s="241">
        <v>299.54000000000002</v>
      </c>
      <c r="M29" s="119">
        <f>K29*L29</f>
        <v>1557128.736</v>
      </c>
      <c r="N29" s="115">
        <f t="shared" si="3"/>
        <v>5472</v>
      </c>
      <c r="O29" s="115">
        <f t="shared" si="44"/>
        <v>3015.0719999999997</v>
      </c>
      <c r="P29" s="115">
        <f t="shared" si="45"/>
        <v>4993.2</v>
      </c>
      <c r="Q29" s="115">
        <f>D29*67%</f>
        <v>7638.0000000000009</v>
      </c>
      <c r="R29" s="116">
        <f t="shared" si="4"/>
        <v>0.67</v>
      </c>
      <c r="S29" s="115">
        <f t="shared" si="5"/>
        <v>5804.880000000001</v>
      </c>
      <c r="T29" s="115">
        <f t="shared" si="6"/>
        <v>6110.4000000000015</v>
      </c>
      <c r="U29" s="115">
        <f t="shared" si="46"/>
        <v>3366.8304000000003</v>
      </c>
      <c r="V29" s="115">
        <f t="shared" si="7"/>
        <v>5575.7400000000007</v>
      </c>
      <c r="W29" s="115">
        <f t="shared" si="8"/>
        <v>363.88800000000003</v>
      </c>
      <c r="X29" s="246">
        <v>14</v>
      </c>
      <c r="Y29" s="119">
        <f t="shared" si="9"/>
        <v>5094.4320000000007</v>
      </c>
      <c r="Z29" s="112">
        <v>873</v>
      </c>
      <c r="AA29" s="112"/>
      <c r="AB29" s="112">
        <v>3300</v>
      </c>
      <c r="AC29" s="113">
        <f t="shared" si="10"/>
        <v>0.26454545454545453</v>
      </c>
      <c r="AD29" s="114">
        <v>7</v>
      </c>
      <c r="AE29" s="115">
        <f>$Z29</f>
        <v>873</v>
      </c>
      <c r="AF29" s="113">
        <f t="shared" si="11"/>
        <v>0.26454545454545453</v>
      </c>
      <c r="AG29" s="114">
        <f>AB29*50%</f>
        <v>1650</v>
      </c>
      <c r="AH29" s="113">
        <f t="shared" si="12"/>
        <v>0.5</v>
      </c>
      <c r="AI29" s="115">
        <f t="shared" si="47"/>
        <v>1237.5</v>
      </c>
      <c r="AJ29" s="250">
        <v>299.14</v>
      </c>
      <c r="AK29" s="119">
        <f t="shared" si="13"/>
        <v>370185.75</v>
      </c>
      <c r="AL29" s="115">
        <f t="shared" si="14"/>
        <v>1336.5</v>
      </c>
      <c r="AM29" s="115">
        <f t="shared" si="15"/>
        <v>816.75</v>
      </c>
      <c r="AN29" s="115">
        <f t="shared" si="16"/>
        <v>1402.5</v>
      </c>
      <c r="AO29" s="114">
        <f>AB29*63%</f>
        <v>2079</v>
      </c>
      <c r="AP29" s="113">
        <f t="shared" si="18"/>
        <v>0.63</v>
      </c>
      <c r="AQ29" s="115">
        <f t="shared" si="48"/>
        <v>1559.25</v>
      </c>
      <c r="AR29" s="115">
        <f t="shared" si="49"/>
        <v>1683.99</v>
      </c>
      <c r="AS29" s="115">
        <f t="shared" si="19"/>
        <v>1060.29</v>
      </c>
      <c r="AT29" s="115">
        <f t="shared" si="20"/>
        <v>1829.52</v>
      </c>
      <c r="AU29" s="118">
        <v>2463</v>
      </c>
      <c r="AV29" s="118">
        <v>8000</v>
      </c>
      <c r="AW29" s="113">
        <f t="shared" si="21"/>
        <v>0.30787500000000001</v>
      </c>
      <c r="AX29" s="114">
        <v>6</v>
      </c>
      <c r="AY29" s="115">
        <f>AV29*31%</f>
        <v>2480</v>
      </c>
      <c r="AZ29" s="113">
        <f t="shared" si="22"/>
        <v>0.31</v>
      </c>
      <c r="BA29" s="114">
        <f>AV29*31%</f>
        <v>2480</v>
      </c>
      <c r="BB29" s="113">
        <f t="shared" si="23"/>
        <v>0.31</v>
      </c>
      <c r="BC29" s="115">
        <f t="shared" si="50"/>
        <v>1736</v>
      </c>
      <c r="BD29" s="247">
        <v>272.26</v>
      </c>
      <c r="BE29" s="119">
        <f t="shared" si="24"/>
        <v>472643.36</v>
      </c>
      <c r="BF29" s="115">
        <f t="shared" si="51"/>
        <v>1785.6</v>
      </c>
      <c r="BG29" s="115">
        <f t="shared" si="25"/>
        <v>1197.8399999999999</v>
      </c>
      <c r="BH29" s="115">
        <f t="shared" si="26"/>
        <v>2058.4</v>
      </c>
      <c r="BI29" s="114">
        <f>AV29*31%</f>
        <v>2480</v>
      </c>
      <c r="BJ29" s="113">
        <f t="shared" si="27"/>
        <v>0.31</v>
      </c>
      <c r="BK29" s="115">
        <f t="shared" si="52"/>
        <v>1760.8</v>
      </c>
      <c r="BL29" s="115">
        <f t="shared" si="53"/>
        <v>1785.6</v>
      </c>
      <c r="BM29" s="115">
        <f t="shared" ref="BM29:BM41" si="65">BK29*69%</f>
        <v>1214.9519999999998</v>
      </c>
      <c r="BN29" s="115">
        <f t="shared" si="29"/>
        <v>2058.4</v>
      </c>
      <c r="BO29" s="114">
        <v>1</v>
      </c>
      <c r="BP29" s="114">
        <v>3</v>
      </c>
      <c r="BQ29" s="114"/>
      <c r="BR29" s="114">
        <v>11</v>
      </c>
      <c r="BS29" s="115">
        <f>3100*0.3%</f>
        <v>9.3000000000000007</v>
      </c>
      <c r="BT29" s="114"/>
      <c r="BU29" s="114">
        <v>50</v>
      </c>
      <c r="BV29" s="114"/>
      <c r="BW29" s="114">
        <v>15</v>
      </c>
      <c r="BX29" s="115">
        <v>0</v>
      </c>
      <c r="BY29" s="247">
        <v>385.36</v>
      </c>
      <c r="BZ29" s="119">
        <v>0</v>
      </c>
      <c r="CA29" s="115">
        <v>0</v>
      </c>
      <c r="CB29" s="115">
        <v>0</v>
      </c>
      <c r="CC29" s="115">
        <f t="shared" si="32"/>
        <v>12.45</v>
      </c>
      <c r="CD29" s="114">
        <f t="shared" ref="CD29:CD71" si="66">BW29*1.6</f>
        <v>24</v>
      </c>
      <c r="CE29" s="115">
        <f t="shared" si="56"/>
        <v>15.84</v>
      </c>
      <c r="CF29" s="115">
        <f t="shared" ref="CF29" si="67">CD29*72%</f>
        <v>17.28</v>
      </c>
      <c r="CG29" s="115">
        <f t="shared" ref="CG29:CG36" si="68">CE29*69%</f>
        <v>10.929599999999999</v>
      </c>
      <c r="CH29" s="115">
        <f t="shared" si="34"/>
        <v>19.919999999999998</v>
      </c>
      <c r="CI29" s="118">
        <v>0</v>
      </c>
      <c r="CJ29" s="140">
        <v>0</v>
      </c>
      <c r="CK29" s="139">
        <f t="shared" si="64"/>
        <v>0</v>
      </c>
      <c r="CL29" s="139" t="s">
        <v>135</v>
      </c>
      <c r="CM29" s="139">
        <v>1440</v>
      </c>
      <c r="CN29" s="185">
        <v>150596</v>
      </c>
      <c r="CO29" s="139">
        <v>0</v>
      </c>
      <c r="CP29" s="140">
        <v>2249.79</v>
      </c>
      <c r="CQ29" s="139">
        <f t="shared" si="35"/>
        <v>0</v>
      </c>
      <c r="CR29" s="139">
        <v>0</v>
      </c>
      <c r="CS29" s="140">
        <v>445.51</v>
      </c>
      <c r="CT29" s="139">
        <f t="shared" si="54"/>
        <v>0</v>
      </c>
      <c r="CU29" s="139">
        <v>0</v>
      </c>
      <c r="CV29" s="140">
        <v>2249.79</v>
      </c>
      <c r="CW29" s="139">
        <f t="shared" si="36"/>
        <v>0</v>
      </c>
      <c r="CX29" s="139">
        <v>0</v>
      </c>
      <c r="CY29" s="140">
        <v>2249.79</v>
      </c>
      <c r="CZ29" s="139">
        <f t="shared" si="37"/>
        <v>0</v>
      </c>
      <c r="DA29" s="139">
        <v>0</v>
      </c>
      <c r="DB29" s="140">
        <v>464.26</v>
      </c>
      <c r="DC29" s="139">
        <f t="shared" si="38"/>
        <v>0</v>
      </c>
      <c r="DD29" s="139">
        <v>0</v>
      </c>
      <c r="DE29" s="140">
        <v>2249.79</v>
      </c>
      <c r="DF29" s="139">
        <f t="shared" si="39"/>
        <v>0</v>
      </c>
      <c r="DG29" s="139">
        <v>0</v>
      </c>
      <c r="DH29" s="140">
        <v>2249.79</v>
      </c>
      <c r="DI29" s="139">
        <f t="shared" si="40"/>
        <v>0</v>
      </c>
      <c r="DJ29" s="139">
        <v>0</v>
      </c>
      <c r="DK29" s="139">
        <v>504.26</v>
      </c>
      <c r="DL29" s="139">
        <f t="shared" si="41"/>
        <v>0</v>
      </c>
      <c r="DM29" s="139">
        <v>0</v>
      </c>
      <c r="DN29" s="140">
        <v>2249.79</v>
      </c>
      <c r="DO29" s="205">
        <f t="shared" si="42"/>
        <v>0</v>
      </c>
      <c r="DP29" s="197"/>
    </row>
    <row r="30" spans="1:120" ht="38.25" x14ac:dyDescent="0.25">
      <c r="A30" s="17" t="s">
        <v>53</v>
      </c>
      <c r="B30" s="9"/>
      <c r="C30" s="19" t="s">
        <v>54</v>
      </c>
      <c r="D30" s="9"/>
      <c r="E30" s="10"/>
      <c r="F30" s="11"/>
      <c r="G30" s="7"/>
      <c r="H30" s="10"/>
      <c r="I30" s="7"/>
      <c r="J30" s="10"/>
      <c r="K30" s="7">
        <f>K29*0.3</f>
        <v>1559.5199999999998</v>
      </c>
      <c r="L30" s="241">
        <v>299.54000000000002</v>
      </c>
      <c r="M30" s="187">
        <f>K30*L30</f>
        <v>467138.62079999998</v>
      </c>
      <c r="N30" s="7"/>
      <c r="O30" s="7">
        <f>O29*0.3</f>
        <v>904.52159999999992</v>
      </c>
      <c r="P30" s="7"/>
      <c r="Q30" s="7"/>
      <c r="R30" s="188"/>
      <c r="S30" s="7"/>
      <c r="T30" s="7"/>
      <c r="U30" s="7"/>
      <c r="V30" s="7"/>
      <c r="W30" s="7">
        <f t="shared" si="8"/>
        <v>109.1664</v>
      </c>
      <c r="X30" s="247">
        <v>14</v>
      </c>
      <c r="Y30" s="187">
        <f t="shared" si="9"/>
        <v>1528.3296</v>
      </c>
      <c r="Z30" s="9"/>
      <c r="AA30" s="9"/>
      <c r="AB30" s="9"/>
      <c r="AC30" s="10"/>
      <c r="AD30" s="11"/>
      <c r="AE30" s="7"/>
      <c r="AF30" s="10"/>
      <c r="AG30" s="11"/>
      <c r="AH30" s="10"/>
      <c r="AI30" s="7">
        <v>180</v>
      </c>
      <c r="AJ30" s="250">
        <v>299.14</v>
      </c>
      <c r="AK30" s="187">
        <f>AI30*AJ30</f>
        <v>53845.2</v>
      </c>
      <c r="AL30" s="7"/>
      <c r="AM30" s="7">
        <f>AM29*0.15</f>
        <v>122.51249999999999</v>
      </c>
      <c r="AN30" s="7"/>
      <c r="AO30" s="11"/>
      <c r="AP30" s="10"/>
      <c r="AQ30" s="7"/>
      <c r="AR30" s="7"/>
      <c r="AS30" s="7"/>
      <c r="AT30" s="7"/>
      <c r="AU30" s="12"/>
      <c r="AV30" s="12"/>
      <c r="AW30" s="10"/>
      <c r="AX30" s="11"/>
      <c r="AY30" s="7"/>
      <c r="AZ30" s="10"/>
      <c r="BA30" s="11"/>
      <c r="BB30" s="10"/>
      <c r="BC30" s="7">
        <v>0</v>
      </c>
      <c r="BD30" s="247">
        <v>272.26</v>
      </c>
      <c r="BE30" s="187">
        <v>0</v>
      </c>
      <c r="BF30" s="7"/>
      <c r="BG30" s="7">
        <v>0</v>
      </c>
      <c r="BH30" s="7"/>
      <c r="BI30" s="11"/>
      <c r="BJ30" s="10"/>
      <c r="BK30" s="7"/>
      <c r="BL30" s="7"/>
      <c r="BM30" s="7"/>
      <c r="BN30" s="7"/>
      <c r="BO30" s="11"/>
      <c r="BP30" s="11"/>
      <c r="BQ30" s="11"/>
      <c r="BR30" s="11"/>
      <c r="BS30" s="7"/>
      <c r="BT30" s="11"/>
      <c r="BU30" s="11"/>
      <c r="BV30" s="11"/>
      <c r="BW30" s="11"/>
      <c r="BX30" s="7">
        <v>0</v>
      </c>
      <c r="BY30" s="247">
        <v>385.36</v>
      </c>
      <c r="BZ30" s="187">
        <v>0</v>
      </c>
      <c r="CA30" s="7">
        <v>0</v>
      </c>
      <c r="CB30" s="7">
        <v>0</v>
      </c>
      <c r="CC30" s="7"/>
      <c r="CD30" s="11"/>
      <c r="CE30" s="7"/>
      <c r="CF30" s="7"/>
      <c r="CG30" s="7"/>
      <c r="CH30" s="7"/>
      <c r="CI30" s="12">
        <v>0</v>
      </c>
      <c r="CJ30" s="189">
        <v>0</v>
      </c>
      <c r="CK30" s="13">
        <f t="shared" si="64"/>
        <v>0</v>
      </c>
      <c r="CL30" s="13"/>
      <c r="CM30" s="13">
        <v>1440</v>
      </c>
      <c r="CN30" s="14">
        <v>0</v>
      </c>
      <c r="CO30" s="13">
        <v>0</v>
      </c>
      <c r="CP30" s="189">
        <v>2249.79</v>
      </c>
      <c r="CQ30" s="13">
        <f t="shared" si="35"/>
        <v>0</v>
      </c>
      <c r="CR30" s="13">
        <v>0</v>
      </c>
      <c r="CS30" s="189">
        <v>445.51</v>
      </c>
      <c r="CT30" s="13">
        <f t="shared" si="54"/>
        <v>0</v>
      </c>
      <c r="CU30" s="13">
        <v>0</v>
      </c>
      <c r="CV30" s="189">
        <v>2249.79</v>
      </c>
      <c r="CW30" s="13">
        <f t="shared" si="36"/>
        <v>0</v>
      </c>
      <c r="CX30" s="13">
        <v>0</v>
      </c>
      <c r="CY30" s="189">
        <v>2249.79</v>
      </c>
      <c r="CZ30" s="13">
        <f t="shared" si="37"/>
        <v>0</v>
      </c>
      <c r="DA30" s="13">
        <v>0</v>
      </c>
      <c r="DB30" s="189">
        <v>464.26</v>
      </c>
      <c r="DC30" s="13">
        <f t="shared" si="38"/>
        <v>0</v>
      </c>
      <c r="DD30" s="13">
        <v>0</v>
      </c>
      <c r="DE30" s="189">
        <v>2249.79</v>
      </c>
      <c r="DF30" s="13">
        <f t="shared" si="39"/>
        <v>0</v>
      </c>
      <c r="DG30" s="13">
        <v>0</v>
      </c>
      <c r="DH30" s="189">
        <v>2249.79</v>
      </c>
      <c r="DI30" s="13">
        <f t="shared" si="40"/>
        <v>0</v>
      </c>
      <c r="DJ30" s="13">
        <v>0</v>
      </c>
      <c r="DK30" s="13">
        <v>504.26</v>
      </c>
      <c r="DL30" s="13">
        <f t="shared" si="41"/>
        <v>0</v>
      </c>
      <c r="DM30" s="13">
        <v>0</v>
      </c>
      <c r="DN30" s="189">
        <v>2249.79</v>
      </c>
      <c r="DO30" s="16">
        <f t="shared" si="42"/>
        <v>0</v>
      </c>
      <c r="DP30" s="196"/>
    </row>
    <row r="31" spans="1:120" ht="38.25" x14ac:dyDescent="0.25">
      <c r="A31" s="17" t="s">
        <v>53</v>
      </c>
      <c r="B31" s="9"/>
      <c r="C31" s="19" t="s">
        <v>55</v>
      </c>
      <c r="D31" s="9"/>
      <c r="E31" s="10"/>
      <c r="F31" s="11"/>
      <c r="G31" s="7"/>
      <c r="H31" s="10"/>
      <c r="I31" s="7"/>
      <c r="J31" s="10"/>
      <c r="K31" s="7">
        <f>K29*0.7</f>
        <v>3638.8799999999997</v>
      </c>
      <c r="L31" s="241">
        <v>299.54000000000002</v>
      </c>
      <c r="M31" s="187">
        <f>K31*L31</f>
        <v>1089990.1151999999</v>
      </c>
      <c r="N31" s="7"/>
      <c r="O31" s="7">
        <f>O29*0.7</f>
        <v>2110.5503999999996</v>
      </c>
      <c r="P31" s="7"/>
      <c r="Q31" s="7"/>
      <c r="R31" s="188"/>
      <c r="S31" s="7"/>
      <c r="T31" s="7"/>
      <c r="U31" s="7"/>
      <c r="V31" s="7"/>
      <c r="W31" s="7">
        <f t="shared" si="8"/>
        <v>254.7216</v>
      </c>
      <c r="X31" s="247">
        <v>14</v>
      </c>
      <c r="Y31" s="187">
        <f t="shared" si="9"/>
        <v>3566.1023999999998</v>
      </c>
      <c r="Z31" s="9"/>
      <c r="AA31" s="9"/>
      <c r="AB31" s="9"/>
      <c r="AC31" s="10"/>
      <c r="AD31" s="11"/>
      <c r="AE31" s="7"/>
      <c r="AF31" s="10"/>
      <c r="AG31" s="11"/>
      <c r="AH31" s="10"/>
      <c r="AI31" s="7">
        <v>1058</v>
      </c>
      <c r="AJ31" s="250">
        <v>299.14</v>
      </c>
      <c r="AK31" s="187">
        <f t="shared" ref="AK31:AK33" si="69">AI31*AJ31</f>
        <v>316490.12</v>
      </c>
      <c r="AL31" s="7"/>
      <c r="AM31" s="7">
        <f>AM29*0.85</f>
        <v>694.23749999999995</v>
      </c>
      <c r="AN31" s="7"/>
      <c r="AO31" s="11"/>
      <c r="AP31" s="10"/>
      <c r="AQ31" s="7"/>
      <c r="AR31" s="7"/>
      <c r="AS31" s="7"/>
      <c r="AT31" s="7"/>
      <c r="AU31" s="12"/>
      <c r="AV31" s="12"/>
      <c r="AW31" s="10"/>
      <c r="AX31" s="11"/>
      <c r="AY31" s="7"/>
      <c r="AZ31" s="10"/>
      <c r="BA31" s="11"/>
      <c r="BB31" s="10"/>
      <c r="BC31" s="7">
        <v>0</v>
      </c>
      <c r="BD31" s="247">
        <v>272.26</v>
      </c>
      <c r="BE31" s="187">
        <v>0</v>
      </c>
      <c r="BF31" s="7"/>
      <c r="BG31" s="7">
        <v>0</v>
      </c>
      <c r="BH31" s="7"/>
      <c r="BI31" s="11"/>
      <c r="BJ31" s="10"/>
      <c r="BK31" s="7"/>
      <c r="BL31" s="7"/>
      <c r="BM31" s="7"/>
      <c r="BN31" s="7"/>
      <c r="BO31" s="11"/>
      <c r="BP31" s="11"/>
      <c r="BQ31" s="11"/>
      <c r="BR31" s="11"/>
      <c r="BS31" s="7"/>
      <c r="BT31" s="11"/>
      <c r="BU31" s="11"/>
      <c r="BV31" s="11"/>
      <c r="BW31" s="11"/>
      <c r="BX31" s="7">
        <v>0</v>
      </c>
      <c r="BY31" s="247">
        <v>385.36</v>
      </c>
      <c r="BZ31" s="187">
        <v>0</v>
      </c>
      <c r="CA31" s="7">
        <v>0</v>
      </c>
      <c r="CB31" s="7">
        <v>0</v>
      </c>
      <c r="CC31" s="7"/>
      <c r="CD31" s="11"/>
      <c r="CE31" s="7"/>
      <c r="CF31" s="7"/>
      <c r="CG31" s="7"/>
      <c r="CH31" s="7"/>
      <c r="CI31" s="12">
        <v>0</v>
      </c>
      <c r="CJ31" s="189">
        <v>0</v>
      </c>
      <c r="CK31" s="13">
        <f t="shared" si="64"/>
        <v>0</v>
      </c>
      <c r="CL31" s="13" t="s">
        <v>135</v>
      </c>
      <c r="CM31" s="13">
        <v>1440</v>
      </c>
      <c r="CN31" s="14">
        <v>150596</v>
      </c>
      <c r="CO31" s="13">
        <v>0</v>
      </c>
      <c r="CP31" s="189">
        <v>2249.79</v>
      </c>
      <c r="CQ31" s="13">
        <f t="shared" si="35"/>
        <v>0</v>
      </c>
      <c r="CR31" s="13">
        <v>0</v>
      </c>
      <c r="CS31" s="189">
        <v>445.51</v>
      </c>
      <c r="CT31" s="13">
        <f t="shared" si="54"/>
        <v>0</v>
      </c>
      <c r="CU31" s="13">
        <v>0</v>
      </c>
      <c r="CV31" s="189">
        <v>2249.79</v>
      </c>
      <c r="CW31" s="13">
        <f t="shared" si="36"/>
        <v>0</v>
      </c>
      <c r="CX31" s="13">
        <v>0</v>
      </c>
      <c r="CY31" s="189">
        <v>2249.79</v>
      </c>
      <c r="CZ31" s="13">
        <f t="shared" si="37"/>
        <v>0</v>
      </c>
      <c r="DA31" s="13">
        <v>0</v>
      </c>
      <c r="DB31" s="189">
        <v>464.26</v>
      </c>
      <c r="DC31" s="13">
        <f t="shared" si="38"/>
        <v>0</v>
      </c>
      <c r="DD31" s="13">
        <v>0</v>
      </c>
      <c r="DE31" s="189">
        <v>2249.79</v>
      </c>
      <c r="DF31" s="13">
        <f t="shared" si="39"/>
        <v>0</v>
      </c>
      <c r="DG31" s="13">
        <v>0</v>
      </c>
      <c r="DH31" s="189">
        <v>2249.79</v>
      </c>
      <c r="DI31" s="13">
        <f t="shared" si="40"/>
        <v>0</v>
      </c>
      <c r="DJ31" s="13">
        <v>0</v>
      </c>
      <c r="DK31" s="13">
        <v>504.26</v>
      </c>
      <c r="DL31" s="13">
        <f t="shared" si="41"/>
        <v>0</v>
      </c>
      <c r="DM31" s="13">
        <v>0</v>
      </c>
      <c r="DN31" s="189">
        <v>2249.79</v>
      </c>
      <c r="DO31" s="16">
        <f t="shared" si="42"/>
        <v>0</v>
      </c>
      <c r="DP31" s="196"/>
    </row>
    <row r="32" spans="1:120" ht="38.25" x14ac:dyDescent="0.25">
      <c r="A32" s="17" t="s">
        <v>53</v>
      </c>
      <c r="B32" s="9"/>
      <c r="C32" s="19" t="s">
        <v>56</v>
      </c>
      <c r="D32" s="9"/>
      <c r="E32" s="10"/>
      <c r="F32" s="11"/>
      <c r="G32" s="7"/>
      <c r="H32" s="10"/>
      <c r="I32" s="7"/>
      <c r="J32" s="10"/>
      <c r="K32" s="7">
        <v>0</v>
      </c>
      <c r="L32" s="241">
        <v>299.54000000000002</v>
      </c>
      <c r="M32" s="187">
        <v>0</v>
      </c>
      <c r="N32" s="7"/>
      <c r="O32" s="7">
        <v>0</v>
      </c>
      <c r="P32" s="7"/>
      <c r="Q32" s="7"/>
      <c r="R32" s="188"/>
      <c r="S32" s="7"/>
      <c r="T32" s="7"/>
      <c r="U32" s="7"/>
      <c r="V32" s="7"/>
      <c r="W32" s="7">
        <f t="shared" si="8"/>
        <v>0</v>
      </c>
      <c r="X32" s="247">
        <v>14</v>
      </c>
      <c r="Y32" s="187">
        <f t="shared" si="9"/>
        <v>0</v>
      </c>
      <c r="Z32" s="9"/>
      <c r="AA32" s="9"/>
      <c r="AB32" s="9"/>
      <c r="AC32" s="10"/>
      <c r="AD32" s="11"/>
      <c r="AE32" s="7"/>
      <c r="AF32" s="10"/>
      <c r="AG32" s="11"/>
      <c r="AH32" s="10"/>
      <c r="AI32" s="7">
        <v>0</v>
      </c>
      <c r="AJ32" s="250">
        <v>299.14</v>
      </c>
      <c r="AK32" s="187">
        <f t="shared" si="69"/>
        <v>0</v>
      </c>
      <c r="AL32" s="7"/>
      <c r="AM32" s="7">
        <v>0</v>
      </c>
      <c r="AN32" s="7"/>
      <c r="AO32" s="11"/>
      <c r="AP32" s="10"/>
      <c r="AQ32" s="7"/>
      <c r="AR32" s="7"/>
      <c r="AS32" s="7"/>
      <c r="AT32" s="7"/>
      <c r="AU32" s="12"/>
      <c r="AV32" s="12"/>
      <c r="AW32" s="10"/>
      <c r="AX32" s="11"/>
      <c r="AY32" s="7"/>
      <c r="AZ32" s="10"/>
      <c r="BA32" s="11"/>
      <c r="BB32" s="10"/>
      <c r="BC32" s="7">
        <v>0</v>
      </c>
      <c r="BD32" s="247">
        <v>272.26</v>
      </c>
      <c r="BE32" s="187">
        <v>0</v>
      </c>
      <c r="BF32" s="7"/>
      <c r="BG32" s="7">
        <v>0</v>
      </c>
      <c r="BH32" s="7"/>
      <c r="BI32" s="11"/>
      <c r="BJ32" s="10"/>
      <c r="BK32" s="7"/>
      <c r="BL32" s="7"/>
      <c r="BM32" s="7"/>
      <c r="BN32" s="7"/>
      <c r="BO32" s="11"/>
      <c r="BP32" s="11"/>
      <c r="BQ32" s="11"/>
      <c r="BR32" s="11"/>
      <c r="BS32" s="7"/>
      <c r="BT32" s="11"/>
      <c r="BU32" s="11"/>
      <c r="BV32" s="11"/>
      <c r="BW32" s="11"/>
      <c r="BX32" s="7">
        <v>0</v>
      </c>
      <c r="BY32" s="247">
        <v>385.36</v>
      </c>
      <c r="BZ32" s="187">
        <v>0</v>
      </c>
      <c r="CA32" s="7">
        <v>0</v>
      </c>
      <c r="CB32" s="7">
        <v>0</v>
      </c>
      <c r="CC32" s="7"/>
      <c r="CD32" s="11"/>
      <c r="CE32" s="7"/>
      <c r="CF32" s="7"/>
      <c r="CG32" s="7"/>
      <c r="CH32" s="7"/>
      <c r="CI32" s="12">
        <v>0</v>
      </c>
      <c r="CJ32" s="189">
        <v>0</v>
      </c>
      <c r="CK32" s="13">
        <f t="shared" si="64"/>
        <v>0</v>
      </c>
      <c r="CL32" s="13"/>
      <c r="CM32" s="13">
        <v>1440</v>
      </c>
      <c r="CN32" s="14">
        <v>0</v>
      </c>
      <c r="CO32" s="13">
        <v>0</v>
      </c>
      <c r="CP32" s="189">
        <v>2249.79</v>
      </c>
      <c r="CQ32" s="13">
        <f t="shared" si="35"/>
        <v>0</v>
      </c>
      <c r="CR32" s="13">
        <v>0</v>
      </c>
      <c r="CS32" s="189">
        <v>445.51</v>
      </c>
      <c r="CT32" s="13">
        <f t="shared" si="54"/>
        <v>0</v>
      </c>
      <c r="CU32" s="13">
        <v>0</v>
      </c>
      <c r="CV32" s="189">
        <v>2249.79</v>
      </c>
      <c r="CW32" s="13">
        <f t="shared" si="36"/>
        <v>0</v>
      </c>
      <c r="CX32" s="13">
        <v>0</v>
      </c>
      <c r="CY32" s="189">
        <v>2249.79</v>
      </c>
      <c r="CZ32" s="13">
        <f t="shared" si="37"/>
        <v>0</v>
      </c>
      <c r="DA32" s="13">
        <v>0</v>
      </c>
      <c r="DB32" s="189">
        <v>464.26</v>
      </c>
      <c r="DC32" s="13">
        <f t="shared" si="38"/>
        <v>0</v>
      </c>
      <c r="DD32" s="13">
        <v>0</v>
      </c>
      <c r="DE32" s="189">
        <v>2249.79</v>
      </c>
      <c r="DF32" s="13">
        <f t="shared" si="39"/>
        <v>0</v>
      </c>
      <c r="DG32" s="13">
        <v>0</v>
      </c>
      <c r="DH32" s="189">
        <v>2249.79</v>
      </c>
      <c r="DI32" s="13">
        <f t="shared" si="40"/>
        <v>0</v>
      </c>
      <c r="DJ32" s="13">
        <v>0</v>
      </c>
      <c r="DK32" s="13">
        <v>504.26</v>
      </c>
      <c r="DL32" s="13">
        <f t="shared" si="41"/>
        <v>0</v>
      </c>
      <c r="DM32" s="13">
        <v>0</v>
      </c>
      <c r="DN32" s="189">
        <v>2249.79</v>
      </c>
      <c r="DO32" s="16">
        <f t="shared" si="42"/>
        <v>0</v>
      </c>
      <c r="DP32" s="196"/>
    </row>
    <row r="33" spans="1:120" ht="38.25" x14ac:dyDescent="0.25">
      <c r="A33" s="17" t="s">
        <v>53</v>
      </c>
      <c r="B33" s="9"/>
      <c r="C33" s="19" t="s">
        <v>57</v>
      </c>
      <c r="D33" s="9"/>
      <c r="E33" s="10"/>
      <c r="F33" s="11"/>
      <c r="G33" s="7"/>
      <c r="H33" s="10"/>
      <c r="I33" s="7"/>
      <c r="J33" s="10"/>
      <c r="K33" s="7">
        <v>0</v>
      </c>
      <c r="L33" s="241">
        <v>299.54000000000002</v>
      </c>
      <c r="M33" s="187">
        <v>0</v>
      </c>
      <c r="N33" s="7"/>
      <c r="O33" s="7">
        <v>0</v>
      </c>
      <c r="P33" s="7"/>
      <c r="Q33" s="7"/>
      <c r="R33" s="188"/>
      <c r="S33" s="7"/>
      <c r="T33" s="7"/>
      <c r="U33" s="7"/>
      <c r="V33" s="7"/>
      <c r="W33" s="7">
        <f t="shared" si="8"/>
        <v>0</v>
      </c>
      <c r="X33" s="247">
        <v>14</v>
      </c>
      <c r="Y33" s="187">
        <f t="shared" si="9"/>
        <v>0</v>
      </c>
      <c r="Z33" s="9"/>
      <c r="AA33" s="9"/>
      <c r="AB33" s="9"/>
      <c r="AC33" s="10"/>
      <c r="AD33" s="11"/>
      <c r="AE33" s="7"/>
      <c r="AF33" s="10"/>
      <c r="AG33" s="11"/>
      <c r="AH33" s="10"/>
      <c r="AI33" s="7">
        <v>0</v>
      </c>
      <c r="AJ33" s="250">
        <v>299.14</v>
      </c>
      <c r="AK33" s="187">
        <f t="shared" si="69"/>
        <v>0</v>
      </c>
      <c r="AL33" s="7"/>
      <c r="AM33" s="7">
        <v>0</v>
      </c>
      <c r="AN33" s="7"/>
      <c r="AO33" s="11"/>
      <c r="AP33" s="10"/>
      <c r="AQ33" s="7"/>
      <c r="AR33" s="7"/>
      <c r="AS33" s="7"/>
      <c r="AT33" s="7"/>
      <c r="AU33" s="12"/>
      <c r="AV33" s="12"/>
      <c r="AW33" s="10"/>
      <c r="AX33" s="11"/>
      <c r="AY33" s="7"/>
      <c r="AZ33" s="10"/>
      <c r="BA33" s="11"/>
      <c r="BB33" s="10"/>
      <c r="BC33" s="7">
        <f>BC29</f>
        <v>1736</v>
      </c>
      <c r="BD33" s="247">
        <v>272.26</v>
      </c>
      <c r="BE33" s="187">
        <f>BC33*BD33</f>
        <v>472643.36</v>
      </c>
      <c r="BF33" s="7"/>
      <c r="BG33" s="7">
        <f>BC33*69%</f>
        <v>1197.8399999999999</v>
      </c>
      <c r="BH33" s="7"/>
      <c r="BI33" s="11"/>
      <c r="BJ33" s="10"/>
      <c r="BK33" s="7"/>
      <c r="BL33" s="7"/>
      <c r="BM33" s="7"/>
      <c r="BN33" s="7"/>
      <c r="BO33" s="11"/>
      <c r="BP33" s="11"/>
      <c r="BQ33" s="11"/>
      <c r="BR33" s="11"/>
      <c r="BS33" s="7"/>
      <c r="BT33" s="11"/>
      <c r="BU33" s="11"/>
      <c r="BV33" s="11"/>
      <c r="BW33" s="11"/>
      <c r="BX33" s="7">
        <v>0</v>
      </c>
      <c r="BY33" s="247">
        <v>385.36</v>
      </c>
      <c r="BZ33" s="187">
        <v>0</v>
      </c>
      <c r="CA33" s="7">
        <v>6.8309999999999995</v>
      </c>
      <c r="CB33" s="7">
        <v>0</v>
      </c>
      <c r="CC33" s="7"/>
      <c r="CD33" s="11"/>
      <c r="CE33" s="7"/>
      <c r="CF33" s="7"/>
      <c r="CG33" s="7"/>
      <c r="CH33" s="7"/>
      <c r="CI33" s="13">
        <v>0</v>
      </c>
      <c r="CJ33" s="189">
        <v>0</v>
      </c>
      <c r="CK33" s="13">
        <f t="shared" si="64"/>
        <v>0</v>
      </c>
      <c r="CL33" s="13"/>
      <c r="CM33" s="13">
        <v>1440</v>
      </c>
      <c r="CN33" s="14">
        <v>0</v>
      </c>
      <c r="CO33" s="13">
        <v>0</v>
      </c>
      <c r="CP33" s="189">
        <v>2249.79</v>
      </c>
      <c r="CQ33" s="13">
        <f t="shared" si="35"/>
        <v>0</v>
      </c>
      <c r="CR33" s="13">
        <v>0</v>
      </c>
      <c r="CS33" s="189">
        <v>445.51</v>
      </c>
      <c r="CT33" s="13">
        <f t="shared" si="54"/>
        <v>0</v>
      </c>
      <c r="CU33" s="13">
        <v>0</v>
      </c>
      <c r="CV33" s="189">
        <v>2249.79</v>
      </c>
      <c r="CW33" s="13">
        <f t="shared" si="36"/>
        <v>0</v>
      </c>
      <c r="CX33" s="13">
        <v>0</v>
      </c>
      <c r="CY33" s="189">
        <v>2249.79</v>
      </c>
      <c r="CZ33" s="13">
        <f t="shared" si="37"/>
        <v>0</v>
      </c>
      <c r="DA33" s="13">
        <v>0</v>
      </c>
      <c r="DB33" s="189">
        <v>464.26</v>
      </c>
      <c r="DC33" s="13">
        <f t="shared" si="38"/>
        <v>0</v>
      </c>
      <c r="DD33" s="13">
        <v>0</v>
      </c>
      <c r="DE33" s="189">
        <v>2249.79</v>
      </c>
      <c r="DF33" s="13">
        <f t="shared" si="39"/>
        <v>0</v>
      </c>
      <c r="DG33" s="13">
        <v>0</v>
      </c>
      <c r="DH33" s="189">
        <v>2249.79</v>
      </c>
      <c r="DI33" s="13">
        <f t="shared" si="40"/>
        <v>0</v>
      </c>
      <c r="DJ33" s="13">
        <v>0</v>
      </c>
      <c r="DK33" s="13">
        <v>504.26</v>
      </c>
      <c r="DL33" s="13">
        <f t="shared" si="41"/>
        <v>0</v>
      </c>
      <c r="DM33" s="13">
        <v>0</v>
      </c>
      <c r="DN33" s="189">
        <v>2249.79</v>
      </c>
      <c r="DO33" s="16">
        <f t="shared" si="42"/>
        <v>0</v>
      </c>
      <c r="DP33" s="196"/>
    </row>
    <row r="34" spans="1:120" s="143" customFormat="1" x14ac:dyDescent="0.25">
      <c r="A34" s="218" t="s">
        <v>58</v>
      </c>
      <c r="B34" s="112">
        <v>1074</v>
      </c>
      <c r="C34" s="220"/>
      <c r="D34" s="112">
        <v>3800</v>
      </c>
      <c r="E34" s="113">
        <f t="shared" si="62"/>
        <v>0.2826315789473684</v>
      </c>
      <c r="F34" s="114">
        <v>-4</v>
      </c>
      <c r="G34" s="115">
        <f>$B34*$G$98/$B$95</f>
        <v>863.73700161439217</v>
      </c>
      <c r="H34" s="113">
        <f t="shared" si="0"/>
        <v>0.22729921095115582</v>
      </c>
      <c r="I34" s="115">
        <f>D34*36%</f>
        <v>1368</v>
      </c>
      <c r="J34" s="113">
        <f t="shared" si="1"/>
        <v>0.36</v>
      </c>
      <c r="K34" s="115">
        <f t="shared" si="43"/>
        <v>1039.68</v>
      </c>
      <c r="L34" s="241">
        <v>299.54000000000002</v>
      </c>
      <c r="M34" s="119">
        <f t="shared" si="2"/>
        <v>311425.74720000004</v>
      </c>
      <c r="N34" s="115">
        <f t="shared" si="3"/>
        <v>1094.4000000000001</v>
      </c>
      <c r="O34" s="115">
        <f t="shared" si="44"/>
        <v>603.01440000000002</v>
      </c>
      <c r="P34" s="115">
        <f t="shared" si="45"/>
        <v>998.64</v>
      </c>
      <c r="Q34" s="115">
        <f>D34*64%</f>
        <v>2432</v>
      </c>
      <c r="R34" s="116">
        <f t="shared" si="4"/>
        <v>0.64</v>
      </c>
      <c r="S34" s="115">
        <f t="shared" si="5"/>
        <v>1848.32</v>
      </c>
      <c r="T34" s="115">
        <f t="shared" si="6"/>
        <v>1945.6000000000001</v>
      </c>
      <c r="U34" s="115">
        <f t="shared" si="46"/>
        <v>1072.0255999999999</v>
      </c>
      <c r="V34" s="115">
        <f t="shared" si="7"/>
        <v>1775.36</v>
      </c>
      <c r="W34" s="115">
        <f t="shared" si="8"/>
        <v>72.777600000000007</v>
      </c>
      <c r="X34" s="246">
        <v>14</v>
      </c>
      <c r="Y34" s="119">
        <f t="shared" si="9"/>
        <v>1018.8864000000001</v>
      </c>
      <c r="Z34" s="112">
        <v>370</v>
      </c>
      <c r="AA34" s="112"/>
      <c r="AB34" s="112">
        <v>800</v>
      </c>
      <c r="AC34" s="113">
        <f t="shared" si="10"/>
        <v>0.46250000000000002</v>
      </c>
      <c r="AD34" s="114">
        <v>1</v>
      </c>
      <c r="AE34" s="115">
        <f>$Z34</f>
        <v>370</v>
      </c>
      <c r="AF34" s="113">
        <f t="shared" si="11"/>
        <v>0.46250000000000002</v>
      </c>
      <c r="AG34" s="117">
        <f>AB34*50%</f>
        <v>400</v>
      </c>
      <c r="AH34" s="113">
        <f t="shared" si="12"/>
        <v>0.5</v>
      </c>
      <c r="AI34" s="115">
        <f t="shared" si="47"/>
        <v>300</v>
      </c>
      <c r="AJ34" s="250">
        <v>299.14</v>
      </c>
      <c r="AK34" s="119">
        <f t="shared" si="13"/>
        <v>89742</v>
      </c>
      <c r="AL34" s="115">
        <f t="shared" si="14"/>
        <v>324</v>
      </c>
      <c r="AM34" s="115">
        <f t="shared" si="15"/>
        <v>198</v>
      </c>
      <c r="AN34" s="115">
        <f t="shared" si="16"/>
        <v>340</v>
      </c>
      <c r="AO34" s="117">
        <f>AB34*61%</f>
        <v>488</v>
      </c>
      <c r="AP34" s="113">
        <f t="shared" si="18"/>
        <v>0.61</v>
      </c>
      <c r="AQ34" s="115">
        <f t="shared" si="48"/>
        <v>366</v>
      </c>
      <c r="AR34" s="115">
        <f t="shared" si="49"/>
        <v>395.28000000000003</v>
      </c>
      <c r="AS34" s="115">
        <f t="shared" si="19"/>
        <v>248.88000000000002</v>
      </c>
      <c r="AT34" s="115">
        <f t="shared" si="20"/>
        <v>429.44</v>
      </c>
      <c r="AU34" s="118">
        <v>299</v>
      </c>
      <c r="AV34" s="118">
        <v>4600</v>
      </c>
      <c r="AW34" s="113">
        <f t="shared" si="21"/>
        <v>6.5000000000000002E-2</v>
      </c>
      <c r="AX34" s="114">
        <v>-1</v>
      </c>
      <c r="AY34" s="115">
        <f>AV34*7%</f>
        <v>322.00000000000006</v>
      </c>
      <c r="AZ34" s="113">
        <f t="shared" si="22"/>
        <v>7.0000000000000007E-2</v>
      </c>
      <c r="BA34" s="114">
        <f>AV34*12%</f>
        <v>552</v>
      </c>
      <c r="BB34" s="113">
        <f t="shared" si="23"/>
        <v>0.12</v>
      </c>
      <c r="BC34" s="115">
        <f t="shared" si="50"/>
        <v>386.4</v>
      </c>
      <c r="BD34" s="247">
        <v>272.26</v>
      </c>
      <c r="BE34" s="119">
        <f t="shared" si="24"/>
        <v>105201.264</v>
      </c>
      <c r="BF34" s="115">
        <f t="shared" si="51"/>
        <v>397.44</v>
      </c>
      <c r="BG34" s="115">
        <f t="shared" si="25"/>
        <v>266.61599999999999</v>
      </c>
      <c r="BH34" s="115">
        <f t="shared" si="26"/>
        <v>458.15999999999997</v>
      </c>
      <c r="BI34" s="114">
        <f>BA34</f>
        <v>552</v>
      </c>
      <c r="BJ34" s="113">
        <f t="shared" si="27"/>
        <v>0.12</v>
      </c>
      <c r="BK34" s="115">
        <f t="shared" si="52"/>
        <v>391.91999999999996</v>
      </c>
      <c r="BL34" s="115">
        <f t="shared" si="53"/>
        <v>397.44</v>
      </c>
      <c r="BM34" s="115">
        <f t="shared" si="65"/>
        <v>270.42479999999995</v>
      </c>
      <c r="BN34" s="115">
        <f t="shared" si="29"/>
        <v>458.15999999999997</v>
      </c>
      <c r="BO34" s="114"/>
      <c r="BP34" s="114"/>
      <c r="BQ34" s="114"/>
      <c r="BR34" s="114"/>
      <c r="BS34" s="114">
        <f>1200*0.5%</f>
        <v>6</v>
      </c>
      <c r="BT34" s="115">
        <f>2400*1.3%</f>
        <v>31.200000000000003</v>
      </c>
      <c r="BU34" s="114"/>
      <c r="BV34" s="114"/>
      <c r="BW34" s="114">
        <v>0</v>
      </c>
      <c r="BX34" s="115">
        <v>0</v>
      </c>
      <c r="BY34" s="247">
        <v>385.36</v>
      </c>
      <c r="BZ34" s="119">
        <f t="shared" si="30"/>
        <v>0</v>
      </c>
      <c r="CA34" s="115"/>
      <c r="CB34" s="115"/>
      <c r="CC34" s="115"/>
      <c r="CD34" s="114"/>
      <c r="CE34" s="115"/>
      <c r="CF34" s="115"/>
      <c r="CG34" s="115"/>
      <c r="CH34" s="115"/>
      <c r="CI34" s="139"/>
      <c r="CJ34" s="140"/>
      <c r="CK34" s="139">
        <f t="shared" si="64"/>
        <v>0</v>
      </c>
      <c r="CL34" s="139"/>
      <c r="CM34" s="139">
        <v>1440</v>
      </c>
      <c r="CN34" s="185">
        <v>177116</v>
      </c>
      <c r="CO34" s="139">
        <v>0</v>
      </c>
      <c r="CP34" s="140">
        <v>2249.79</v>
      </c>
      <c r="CQ34" s="139">
        <f t="shared" si="35"/>
        <v>0</v>
      </c>
      <c r="CR34" s="139">
        <v>0</v>
      </c>
      <c r="CS34" s="140">
        <v>445.51</v>
      </c>
      <c r="CT34" s="139">
        <f t="shared" si="54"/>
        <v>0</v>
      </c>
      <c r="CU34" s="139">
        <v>0</v>
      </c>
      <c r="CV34" s="140">
        <v>2249.79</v>
      </c>
      <c r="CW34" s="139">
        <f t="shared" si="36"/>
        <v>0</v>
      </c>
      <c r="CX34" s="139">
        <v>0</v>
      </c>
      <c r="CY34" s="140">
        <v>2249.79</v>
      </c>
      <c r="CZ34" s="139">
        <f t="shared" si="37"/>
        <v>0</v>
      </c>
      <c r="DA34" s="139">
        <v>0</v>
      </c>
      <c r="DB34" s="140">
        <v>464.26</v>
      </c>
      <c r="DC34" s="139">
        <f t="shared" si="38"/>
        <v>0</v>
      </c>
      <c r="DD34" s="139">
        <v>0</v>
      </c>
      <c r="DE34" s="140">
        <v>2249.79</v>
      </c>
      <c r="DF34" s="139">
        <f t="shared" si="39"/>
        <v>0</v>
      </c>
      <c r="DG34" s="139">
        <v>0</v>
      </c>
      <c r="DH34" s="140">
        <v>2249.79</v>
      </c>
      <c r="DI34" s="139">
        <f t="shared" si="40"/>
        <v>0</v>
      </c>
      <c r="DJ34" s="139">
        <v>0</v>
      </c>
      <c r="DK34" s="139">
        <v>504.26</v>
      </c>
      <c r="DL34" s="139">
        <f t="shared" si="41"/>
        <v>0</v>
      </c>
      <c r="DM34" s="139">
        <v>0</v>
      </c>
      <c r="DN34" s="140">
        <v>2249.79</v>
      </c>
      <c r="DO34" s="205">
        <f t="shared" si="42"/>
        <v>0</v>
      </c>
      <c r="DP34" s="197"/>
    </row>
    <row r="35" spans="1:120" ht="63.75" x14ac:dyDescent="0.25">
      <c r="A35" s="17" t="s">
        <v>58</v>
      </c>
      <c r="B35" s="9"/>
      <c r="C35" s="19" t="s">
        <v>59</v>
      </c>
      <c r="D35" s="9"/>
      <c r="E35" s="10"/>
      <c r="F35" s="11"/>
      <c r="G35" s="7"/>
      <c r="H35" s="10"/>
      <c r="I35" s="7"/>
      <c r="J35" s="10"/>
      <c r="K35" s="7">
        <f>K34</f>
        <v>1039.68</v>
      </c>
      <c r="L35" s="241">
        <v>299.54000000000002</v>
      </c>
      <c r="M35" s="187">
        <f>K35*L35</f>
        <v>311425.74720000004</v>
      </c>
      <c r="N35" s="7">
        <f>I35*80%</f>
        <v>0</v>
      </c>
      <c r="O35" s="7">
        <f>K35*58%</f>
        <v>603.01440000000002</v>
      </c>
      <c r="P35" s="7"/>
      <c r="Q35" s="7"/>
      <c r="R35" s="188"/>
      <c r="S35" s="7"/>
      <c r="T35" s="7"/>
      <c r="U35" s="7"/>
      <c r="V35" s="7"/>
      <c r="W35" s="7">
        <f t="shared" si="8"/>
        <v>72.777600000000007</v>
      </c>
      <c r="X35" s="247">
        <v>14</v>
      </c>
      <c r="Y35" s="187">
        <f t="shared" si="9"/>
        <v>1018.8864000000001</v>
      </c>
      <c r="Z35" s="9"/>
      <c r="AA35" s="9"/>
      <c r="AB35" s="9"/>
      <c r="AC35" s="10"/>
      <c r="AD35" s="11"/>
      <c r="AE35" s="7"/>
      <c r="AF35" s="10"/>
      <c r="AG35" s="18"/>
      <c r="AH35" s="10"/>
      <c r="AI35" s="7">
        <v>300</v>
      </c>
      <c r="AJ35" s="250">
        <v>299.14</v>
      </c>
      <c r="AK35" s="187">
        <f>AI35*AJ35</f>
        <v>89742</v>
      </c>
      <c r="AL35" s="7">
        <f>AG35*81%</f>
        <v>0</v>
      </c>
      <c r="AM35" s="7">
        <f>AI35*66%</f>
        <v>198</v>
      </c>
      <c r="AN35" s="7"/>
      <c r="AO35" s="18"/>
      <c r="AP35" s="10"/>
      <c r="AQ35" s="7"/>
      <c r="AR35" s="7"/>
      <c r="AS35" s="7"/>
      <c r="AT35" s="7"/>
      <c r="AU35" s="12"/>
      <c r="AV35" s="12"/>
      <c r="AW35" s="10"/>
      <c r="AX35" s="11"/>
      <c r="AY35" s="7"/>
      <c r="AZ35" s="10"/>
      <c r="BA35" s="11"/>
      <c r="BB35" s="10"/>
      <c r="BC35" s="7">
        <f>BC34</f>
        <v>386.4</v>
      </c>
      <c r="BD35" s="247">
        <v>272.26</v>
      </c>
      <c r="BE35" s="187">
        <f>BC35*BD35</f>
        <v>105201.264</v>
      </c>
      <c r="BF35" s="7">
        <f>BA35*72%</f>
        <v>0</v>
      </c>
      <c r="BG35" s="7">
        <f>BC35*69%</f>
        <v>266.61599999999999</v>
      </c>
      <c r="BH35" s="7"/>
      <c r="BI35" s="11"/>
      <c r="BJ35" s="10"/>
      <c r="BK35" s="7"/>
      <c r="BL35" s="7"/>
      <c r="BM35" s="7"/>
      <c r="BN35" s="7"/>
      <c r="BO35" s="11"/>
      <c r="BP35" s="11"/>
      <c r="BQ35" s="11"/>
      <c r="BR35" s="11"/>
      <c r="BS35" s="11"/>
      <c r="BT35" s="7"/>
      <c r="BU35" s="11"/>
      <c r="BV35" s="11"/>
      <c r="BW35" s="11"/>
      <c r="BX35" s="7">
        <v>0</v>
      </c>
      <c r="BY35" s="247">
        <v>385.36</v>
      </c>
      <c r="BZ35" s="187">
        <v>0</v>
      </c>
      <c r="CA35" s="7">
        <v>6.8309999999999995</v>
      </c>
      <c r="CB35" s="7">
        <v>0</v>
      </c>
      <c r="CC35" s="7"/>
      <c r="CD35" s="11"/>
      <c r="CE35" s="7"/>
      <c r="CF35" s="7"/>
      <c r="CG35" s="7"/>
      <c r="CH35" s="7"/>
      <c r="CI35" s="13">
        <v>0</v>
      </c>
      <c r="CJ35" s="189">
        <v>0</v>
      </c>
      <c r="CK35" s="13">
        <f t="shared" si="64"/>
        <v>0</v>
      </c>
      <c r="CL35" s="13"/>
      <c r="CM35" s="13">
        <v>1440</v>
      </c>
      <c r="CN35" s="14">
        <v>177116</v>
      </c>
      <c r="CO35" s="13">
        <v>0</v>
      </c>
      <c r="CP35" s="189">
        <v>2249.79</v>
      </c>
      <c r="CQ35" s="13">
        <f t="shared" si="35"/>
        <v>0</v>
      </c>
      <c r="CR35" s="13">
        <v>0</v>
      </c>
      <c r="CS35" s="189">
        <v>445.51</v>
      </c>
      <c r="CT35" s="13">
        <f t="shared" si="54"/>
        <v>0</v>
      </c>
      <c r="CU35" s="13">
        <v>0</v>
      </c>
      <c r="CV35" s="189">
        <v>2249.79</v>
      </c>
      <c r="CW35" s="13">
        <f t="shared" si="36"/>
        <v>0</v>
      </c>
      <c r="CX35" s="13">
        <v>0</v>
      </c>
      <c r="CY35" s="189">
        <v>2249.79</v>
      </c>
      <c r="CZ35" s="13">
        <f t="shared" si="37"/>
        <v>0</v>
      </c>
      <c r="DA35" s="13">
        <v>0</v>
      </c>
      <c r="DB35" s="189">
        <v>464.26</v>
      </c>
      <c r="DC35" s="13">
        <f t="shared" si="38"/>
        <v>0</v>
      </c>
      <c r="DD35" s="13">
        <v>0</v>
      </c>
      <c r="DE35" s="189">
        <v>2249.79</v>
      </c>
      <c r="DF35" s="13">
        <f t="shared" si="39"/>
        <v>0</v>
      </c>
      <c r="DG35" s="13">
        <v>0</v>
      </c>
      <c r="DH35" s="189">
        <v>2249.79</v>
      </c>
      <c r="DI35" s="13">
        <f t="shared" si="40"/>
        <v>0</v>
      </c>
      <c r="DJ35" s="13">
        <v>0</v>
      </c>
      <c r="DK35" s="13">
        <v>504.26</v>
      </c>
      <c r="DL35" s="13">
        <f t="shared" si="41"/>
        <v>0</v>
      </c>
      <c r="DM35" s="13">
        <v>0</v>
      </c>
      <c r="DN35" s="189">
        <v>2249.79</v>
      </c>
      <c r="DO35" s="16">
        <f t="shared" si="42"/>
        <v>0</v>
      </c>
      <c r="DP35" s="196"/>
    </row>
    <row r="36" spans="1:120" s="143" customFormat="1" x14ac:dyDescent="0.25">
      <c r="A36" s="218" t="s">
        <v>60</v>
      </c>
      <c r="B36" s="112">
        <v>9421</v>
      </c>
      <c r="C36" s="220"/>
      <c r="D36" s="112">
        <v>8100</v>
      </c>
      <c r="E36" s="113">
        <f t="shared" si="62"/>
        <v>1.1630864197530864</v>
      </c>
      <c r="F36" s="114">
        <v>8</v>
      </c>
      <c r="G36" s="115">
        <f>$D$36*80%</f>
        <v>6480</v>
      </c>
      <c r="H36" s="113">
        <f t="shared" si="0"/>
        <v>0.8</v>
      </c>
      <c r="I36" s="115">
        <v>6480</v>
      </c>
      <c r="J36" s="113">
        <f t="shared" si="1"/>
        <v>0.8</v>
      </c>
      <c r="K36" s="115">
        <f t="shared" si="43"/>
        <v>4924.8</v>
      </c>
      <c r="L36" s="241">
        <v>299.54000000000002</v>
      </c>
      <c r="M36" s="119">
        <f t="shared" si="2"/>
        <v>1475174.5920000002</v>
      </c>
      <c r="N36" s="115">
        <f t="shared" si="3"/>
        <v>5184</v>
      </c>
      <c r="O36" s="115">
        <f>K36*58%</f>
        <v>2856.384</v>
      </c>
      <c r="P36" s="115">
        <f t="shared" si="45"/>
        <v>4730.3999999999996</v>
      </c>
      <c r="Q36" s="115">
        <v>6480</v>
      </c>
      <c r="R36" s="116">
        <f t="shared" si="4"/>
        <v>0.8</v>
      </c>
      <c r="S36" s="115">
        <f t="shared" si="5"/>
        <v>4924.8</v>
      </c>
      <c r="T36" s="115">
        <f t="shared" si="6"/>
        <v>5184</v>
      </c>
      <c r="U36" s="115">
        <f t="shared" si="46"/>
        <v>2856.384</v>
      </c>
      <c r="V36" s="115">
        <f t="shared" si="7"/>
        <v>4730.3999999999996</v>
      </c>
      <c r="W36" s="115">
        <f t="shared" si="8"/>
        <v>344.73600000000005</v>
      </c>
      <c r="X36" s="246">
        <v>14</v>
      </c>
      <c r="Y36" s="119">
        <f t="shared" si="9"/>
        <v>4826.304000000001</v>
      </c>
      <c r="Z36" s="112">
        <v>380</v>
      </c>
      <c r="AA36" s="112"/>
      <c r="AB36" s="112">
        <v>2300</v>
      </c>
      <c r="AC36" s="113">
        <f t="shared" si="10"/>
        <v>0.16521739130434782</v>
      </c>
      <c r="AD36" s="114">
        <v>8</v>
      </c>
      <c r="AE36" s="115">
        <f>$AB36*23%</f>
        <v>529</v>
      </c>
      <c r="AF36" s="113">
        <f t="shared" si="11"/>
        <v>0.23</v>
      </c>
      <c r="AG36" s="114">
        <f>AB36*53%</f>
        <v>1219</v>
      </c>
      <c r="AH36" s="113">
        <f t="shared" si="12"/>
        <v>0.53</v>
      </c>
      <c r="AI36" s="115">
        <f t="shared" si="47"/>
        <v>914.25</v>
      </c>
      <c r="AJ36" s="250">
        <v>299.14</v>
      </c>
      <c r="AK36" s="119">
        <f t="shared" si="13"/>
        <v>273488.745</v>
      </c>
      <c r="AL36" s="115">
        <f t="shared" si="14"/>
        <v>987.3900000000001</v>
      </c>
      <c r="AM36" s="115">
        <f t="shared" si="15"/>
        <v>603.40499999999997</v>
      </c>
      <c r="AN36" s="115">
        <f t="shared" si="16"/>
        <v>1036.1499999999999</v>
      </c>
      <c r="AO36" s="114">
        <f>AB36*63%</f>
        <v>1449</v>
      </c>
      <c r="AP36" s="113">
        <f t="shared" si="18"/>
        <v>0.63</v>
      </c>
      <c r="AQ36" s="115">
        <f t="shared" si="48"/>
        <v>1086.75</v>
      </c>
      <c r="AR36" s="115">
        <f t="shared" si="49"/>
        <v>1173.69</v>
      </c>
      <c r="AS36" s="115">
        <f t="shared" si="19"/>
        <v>738.99</v>
      </c>
      <c r="AT36" s="115">
        <f t="shared" si="20"/>
        <v>1275.1200000000001</v>
      </c>
      <c r="AU36" s="118">
        <v>635</v>
      </c>
      <c r="AV36" s="118">
        <v>8700</v>
      </c>
      <c r="AW36" s="113">
        <f t="shared" si="21"/>
        <v>7.2988505747126439E-2</v>
      </c>
      <c r="AX36" s="114">
        <v>5</v>
      </c>
      <c r="AY36" s="115">
        <f>AV36*23%</f>
        <v>2001</v>
      </c>
      <c r="AZ36" s="113">
        <f t="shared" si="22"/>
        <v>0.23</v>
      </c>
      <c r="BA36" s="114">
        <f>AV36*25%</f>
        <v>2175</v>
      </c>
      <c r="BB36" s="113">
        <f t="shared" si="23"/>
        <v>0.25</v>
      </c>
      <c r="BC36" s="115">
        <f t="shared" si="50"/>
        <v>1522.5</v>
      </c>
      <c r="BD36" s="247">
        <v>272.26</v>
      </c>
      <c r="BE36" s="119">
        <f t="shared" si="24"/>
        <v>414515.85</v>
      </c>
      <c r="BF36" s="115">
        <f t="shared" si="51"/>
        <v>1566</v>
      </c>
      <c r="BG36" s="115">
        <f t="shared" si="25"/>
        <v>1050.5249999999999</v>
      </c>
      <c r="BH36" s="115">
        <f t="shared" si="26"/>
        <v>1805.25</v>
      </c>
      <c r="BI36" s="114">
        <f>AV36*26%</f>
        <v>2262</v>
      </c>
      <c r="BJ36" s="113">
        <f t="shared" si="27"/>
        <v>0.26</v>
      </c>
      <c r="BK36" s="115">
        <f t="shared" si="52"/>
        <v>1606.02</v>
      </c>
      <c r="BL36" s="115">
        <f t="shared" si="53"/>
        <v>1628.6399999999999</v>
      </c>
      <c r="BM36" s="115">
        <f t="shared" si="65"/>
        <v>1108.1537999999998</v>
      </c>
      <c r="BN36" s="115">
        <f t="shared" si="29"/>
        <v>1877.4599999999998</v>
      </c>
      <c r="BO36" s="114">
        <v>1</v>
      </c>
      <c r="BP36" s="114">
        <v>1</v>
      </c>
      <c r="BQ36" s="114">
        <v>1</v>
      </c>
      <c r="BR36" s="114">
        <v>15</v>
      </c>
      <c r="BS36" s="114"/>
      <c r="BT36" s="115">
        <f>8700*1.3%</f>
        <v>113.10000000000001</v>
      </c>
      <c r="BU36" s="114">
        <v>10</v>
      </c>
      <c r="BV36" s="114">
        <v>10</v>
      </c>
      <c r="BW36" s="114">
        <v>30</v>
      </c>
      <c r="BX36" s="115">
        <f t="shared" si="63"/>
        <v>19.8</v>
      </c>
      <c r="BY36" s="247">
        <v>385.36</v>
      </c>
      <c r="BZ36" s="119">
        <f t="shared" si="30"/>
        <v>7630.1280000000006</v>
      </c>
      <c r="CA36" s="115">
        <f t="shared" si="55"/>
        <v>21.599999999999998</v>
      </c>
      <c r="CB36" s="115">
        <f t="shared" ref="CB36" si="70">BX36*69%</f>
        <v>13.661999999999999</v>
      </c>
      <c r="CC36" s="115">
        <f t="shared" si="32"/>
        <v>24.9</v>
      </c>
      <c r="CD36" s="114">
        <f t="shared" si="66"/>
        <v>48</v>
      </c>
      <c r="CE36" s="115">
        <f t="shared" si="56"/>
        <v>31.68</v>
      </c>
      <c r="CF36" s="115">
        <f t="shared" ref="CF36:CF60" si="71">CD36*72%</f>
        <v>34.56</v>
      </c>
      <c r="CG36" s="115">
        <f t="shared" si="68"/>
        <v>21.859199999999998</v>
      </c>
      <c r="CH36" s="115">
        <f t="shared" si="34"/>
        <v>39.839999999999996</v>
      </c>
      <c r="CI36" s="139"/>
      <c r="CJ36" s="140"/>
      <c r="CK36" s="139">
        <f>CJ36*CI36</f>
        <v>0</v>
      </c>
      <c r="CL36" s="139"/>
      <c r="CM36" s="139">
        <v>1440</v>
      </c>
      <c r="CN36" s="185">
        <v>0</v>
      </c>
      <c r="CO36" s="139">
        <f>SUM(CO37:CO40)</f>
        <v>113</v>
      </c>
      <c r="CP36" s="140">
        <v>2249.79</v>
      </c>
      <c r="CQ36" s="139">
        <f t="shared" si="35"/>
        <v>254226.27</v>
      </c>
      <c r="CR36" s="139">
        <v>0</v>
      </c>
      <c r="CS36" s="140">
        <v>445.51</v>
      </c>
      <c r="CT36" s="139">
        <f t="shared" si="54"/>
        <v>0</v>
      </c>
      <c r="CU36" s="139">
        <v>0</v>
      </c>
      <c r="CV36" s="140">
        <v>2249.79</v>
      </c>
      <c r="CW36" s="139">
        <f t="shared" si="36"/>
        <v>0</v>
      </c>
      <c r="CX36" s="139"/>
      <c r="CY36" s="140">
        <v>2249.79</v>
      </c>
      <c r="CZ36" s="139">
        <f t="shared" si="37"/>
        <v>0</v>
      </c>
      <c r="DA36" s="139">
        <v>0</v>
      </c>
      <c r="DB36" s="140">
        <v>464.26</v>
      </c>
      <c r="DC36" s="139">
        <f t="shared" si="38"/>
        <v>0</v>
      </c>
      <c r="DD36" s="139"/>
      <c r="DE36" s="140">
        <v>2249.79</v>
      </c>
      <c r="DF36" s="139">
        <f t="shared" si="39"/>
        <v>0</v>
      </c>
      <c r="DG36" s="139">
        <v>0</v>
      </c>
      <c r="DH36" s="140">
        <v>2249.79</v>
      </c>
      <c r="DI36" s="139">
        <f t="shared" si="40"/>
        <v>0</v>
      </c>
      <c r="DJ36" s="139">
        <v>0</v>
      </c>
      <c r="DK36" s="139">
        <v>504.26</v>
      </c>
      <c r="DL36" s="139">
        <f t="shared" si="41"/>
        <v>0</v>
      </c>
      <c r="DM36" s="139">
        <v>0</v>
      </c>
      <c r="DN36" s="140">
        <v>2249.79</v>
      </c>
      <c r="DO36" s="205">
        <f t="shared" si="42"/>
        <v>0</v>
      </c>
      <c r="DP36" s="197"/>
    </row>
    <row r="37" spans="1:120" ht="38.25" x14ac:dyDescent="0.25">
      <c r="A37" s="17" t="s">
        <v>60</v>
      </c>
      <c r="B37" s="9"/>
      <c r="C37" s="19" t="s">
        <v>61</v>
      </c>
      <c r="D37" s="9"/>
      <c r="E37" s="10"/>
      <c r="F37" s="11"/>
      <c r="G37" s="7"/>
      <c r="H37" s="10"/>
      <c r="I37" s="7"/>
      <c r="J37" s="10"/>
      <c r="K37" s="7">
        <f>K36*0.85</f>
        <v>4186.08</v>
      </c>
      <c r="L37" s="241">
        <v>299.54000000000002</v>
      </c>
      <c r="M37" s="187">
        <f>K37*L37</f>
        <v>1253898.4032000001</v>
      </c>
      <c r="N37" s="7"/>
      <c r="O37" s="7">
        <f>K37*0.58</f>
        <v>2427.9263999999998</v>
      </c>
      <c r="P37" s="7"/>
      <c r="Q37" s="7"/>
      <c r="R37" s="188"/>
      <c r="S37" s="7"/>
      <c r="T37" s="7"/>
      <c r="U37" s="7"/>
      <c r="V37" s="7"/>
      <c r="W37" s="7">
        <f t="shared" si="8"/>
        <v>293.0256</v>
      </c>
      <c r="X37" s="247">
        <v>14</v>
      </c>
      <c r="Y37" s="187">
        <f t="shared" si="9"/>
        <v>4102.3584000000001</v>
      </c>
      <c r="Z37" s="9"/>
      <c r="AA37" s="9"/>
      <c r="AB37" s="9"/>
      <c r="AC37" s="10"/>
      <c r="AD37" s="11"/>
      <c r="AE37" s="7"/>
      <c r="AF37" s="10"/>
      <c r="AG37" s="11"/>
      <c r="AH37" s="10"/>
      <c r="AI37" s="7">
        <v>914.25</v>
      </c>
      <c r="AJ37" s="250">
        <v>299.14</v>
      </c>
      <c r="AK37" s="187">
        <v>273360.75</v>
      </c>
      <c r="AL37" s="7"/>
      <c r="AM37" s="7">
        <v>603.40499999999997</v>
      </c>
      <c r="AN37" s="7"/>
      <c r="AO37" s="11"/>
      <c r="AP37" s="10"/>
      <c r="AQ37" s="7"/>
      <c r="AR37" s="7"/>
      <c r="AS37" s="7"/>
      <c r="AT37" s="7"/>
      <c r="AU37" s="12"/>
      <c r="AV37" s="12"/>
      <c r="AW37" s="10"/>
      <c r="AX37" s="11"/>
      <c r="AY37" s="7"/>
      <c r="AZ37" s="10"/>
      <c r="BA37" s="11"/>
      <c r="BB37" s="10"/>
      <c r="BC37" s="7">
        <v>0</v>
      </c>
      <c r="BD37" s="247">
        <v>272.26</v>
      </c>
      <c r="BE37" s="187">
        <v>0</v>
      </c>
      <c r="BF37" s="7"/>
      <c r="BG37" s="7">
        <v>0</v>
      </c>
      <c r="BH37" s="7"/>
      <c r="BI37" s="11"/>
      <c r="BJ37" s="10"/>
      <c r="BK37" s="7"/>
      <c r="BL37" s="7"/>
      <c r="BM37" s="7"/>
      <c r="BN37" s="7"/>
      <c r="BO37" s="11"/>
      <c r="BP37" s="11"/>
      <c r="BQ37" s="11"/>
      <c r="BR37" s="11"/>
      <c r="BS37" s="11"/>
      <c r="BT37" s="7"/>
      <c r="BU37" s="11"/>
      <c r="BV37" s="11"/>
      <c r="BW37" s="11"/>
      <c r="BX37" s="7">
        <f>BX36</f>
        <v>19.8</v>
      </c>
      <c r="BY37" s="247">
        <v>385.36</v>
      </c>
      <c r="BZ37" s="187">
        <v>7623</v>
      </c>
      <c r="CA37" s="7"/>
      <c r="CB37" s="7">
        <v>13.661999999999999</v>
      </c>
      <c r="CC37" s="7"/>
      <c r="CD37" s="11"/>
      <c r="CE37" s="7"/>
      <c r="CF37" s="7"/>
      <c r="CG37" s="7"/>
      <c r="CH37" s="7"/>
      <c r="CI37" s="13">
        <v>0</v>
      </c>
      <c r="CJ37" s="189">
        <v>0</v>
      </c>
      <c r="CK37" s="13">
        <v>0</v>
      </c>
      <c r="CL37" s="13"/>
      <c r="CM37" s="13"/>
      <c r="CN37" s="14">
        <v>0</v>
      </c>
      <c r="CO37" s="13">
        <v>113</v>
      </c>
      <c r="CP37" s="189">
        <v>2249.79</v>
      </c>
      <c r="CQ37" s="13">
        <f t="shared" si="35"/>
        <v>254226.27</v>
      </c>
      <c r="CR37" s="13">
        <v>0</v>
      </c>
      <c r="CS37" s="189">
        <v>445.51</v>
      </c>
      <c r="CT37" s="13">
        <f t="shared" si="54"/>
        <v>0</v>
      </c>
      <c r="CU37" s="13">
        <v>0</v>
      </c>
      <c r="CV37" s="189">
        <v>2249.79</v>
      </c>
      <c r="CW37" s="13">
        <f t="shared" si="36"/>
        <v>0</v>
      </c>
      <c r="CX37" s="13">
        <v>0</v>
      </c>
      <c r="CY37" s="189">
        <v>2249.79</v>
      </c>
      <c r="CZ37" s="13">
        <f t="shared" si="37"/>
        <v>0</v>
      </c>
      <c r="DA37" s="13">
        <v>0</v>
      </c>
      <c r="DB37" s="189">
        <v>464.26</v>
      </c>
      <c r="DC37" s="13">
        <f t="shared" si="38"/>
        <v>0</v>
      </c>
      <c r="DD37" s="13">
        <v>0</v>
      </c>
      <c r="DE37" s="189">
        <v>2249.79</v>
      </c>
      <c r="DF37" s="13">
        <f t="shared" si="39"/>
        <v>0</v>
      </c>
      <c r="DG37" s="13">
        <v>0</v>
      </c>
      <c r="DH37" s="189">
        <v>2249.79</v>
      </c>
      <c r="DI37" s="13">
        <f t="shared" si="40"/>
        <v>0</v>
      </c>
      <c r="DJ37" s="13">
        <v>0</v>
      </c>
      <c r="DK37" s="13">
        <v>504.26</v>
      </c>
      <c r="DL37" s="13">
        <f t="shared" si="41"/>
        <v>0</v>
      </c>
      <c r="DM37" s="13">
        <v>0</v>
      </c>
      <c r="DN37" s="189">
        <v>2249.79</v>
      </c>
      <c r="DO37" s="16">
        <f t="shared" si="42"/>
        <v>0</v>
      </c>
      <c r="DP37" s="196"/>
    </row>
    <row r="38" spans="1:120" ht="25.5" x14ac:dyDescent="0.25">
      <c r="A38" s="17" t="s">
        <v>60</v>
      </c>
      <c r="B38" s="9"/>
      <c r="C38" s="19" t="s">
        <v>40</v>
      </c>
      <c r="D38" s="9"/>
      <c r="E38" s="10"/>
      <c r="F38" s="11"/>
      <c r="G38" s="7"/>
      <c r="H38" s="10"/>
      <c r="I38" s="7"/>
      <c r="J38" s="10"/>
      <c r="K38" s="7">
        <v>0</v>
      </c>
      <c r="L38" s="241">
        <v>299.54000000000002</v>
      </c>
      <c r="M38" s="187">
        <v>0</v>
      </c>
      <c r="N38" s="7"/>
      <c r="O38" s="7">
        <f t="shared" ref="O38:O39" si="72">K38*0.58</f>
        <v>0</v>
      </c>
      <c r="P38" s="7"/>
      <c r="Q38" s="7"/>
      <c r="R38" s="188"/>
      <c r="S38" s="7"/>
      <c r="T38" s="7"/>
      <c r="U38" s="7"/>
      <c r="V38" s="7"/>
      <c r="W38" s="7">
        <f t="shared" si="8"/>
        <v>0</v>
      </c>
      <c r="X38" s="247">
        <v>14</v>
      </c>
      <c r="Y38" s="187">
        <f t="shared" si="9"/>
        <v>0</v>
      </c>
      <c r="Z38" s="9"/>
      <c r="AA38" s="9"/>
      <c r="AB38" s="9"/>
      <c r="AC38" s="10"/>
      <c r="AD38" s="11"/>
      <c r="AE38" s="7"/>
      <c r="AF38" s="10"/>
      <c r="AG38" s="11"/>
      <c r="AH38" s="10"/>
      <c r="AI38" s="7">
        <v>0</v>
      </c>
      <c r="AJ38" s="250">
        <v>299.14</v>
      </c>
      <c r="AK38" s="187">
        <v>0</v>
      </c>
      <c r="AL38" s="7"/>
      <c r="AM38" s="7">
        <v>0</v>
      </c>
      <c r="AN38" s="7"/>
      <c r="AO38" s="11"/>
      <c r="AP38" s="10"/>
      <c r="AQ38" s="7"/>
      <c r="AR38" s="7"/>
      <c r="AS38" s="7"/>
      <c r="AT38" s="7"/>
      <c r="AU38" s="12"/>
      <c r="AV38" s="12"/>
      <c r="AW38" s="10"/>
      <c r="AX38" s="11"/>
      <c r="AY38" s="7"/>
      <c r="AZ38" s="10"/>
      <c r="BA38" s="11"/>
      <c r="BB38" s="10"/>
      <c r="BC38" s="7">
        <f>BC36</f>
        <v>1522.5</v>
      </c>
      <c r="BD38" s="247">
        <v>272.26</v>
      </c>
      <c r="BE38" s="187">
        <v>414120</v>
      </c>
      <c r="BF38" s="7"/>
      <c r="BG38" s="7">
        <v>1050.5249999999999</v>
      </c>
      <c r="BH38" s="7"/>
      <c r="BI38" s="11"/>
      <c r="BJ38" s="10"/>
      <c r="BK38" s="7"/>
      <c r="BL38" s="7"/>
      <c r="BM38" s="7"/>
      <c r="BN38" s="7"/>
      <c r="BO38" s="11"/>
      <c r="BP38" s="11"/>
      <c r="BQ38" s="11"/>
      <c r="BR38" s="11"/>
      <c r="BS38" s="11"/>
      <c r="BT38" s="7"/>
      <c r="BU38" s="11"/>
      <c r="BV38" s="11"/>
      <c r="BW38" s="11"/>
      <c r="BX38" s="7">
        <v>0</v>
      </c>
      <c r="BY38" s="247">
        <v>0</v>
      </c>
      <c r="BZ38" s="187">
        <v>0</v>
      </c>
      <c r="CA38" s="7"/>
      <c r="CB38" s="7">
        <v>0</v>
      </c>
      <c r="CC38" s="7"/>
      <c r="CD38" s="11"/>
      <c r="CE38" s="7"/>
      <c r="CF38" s="7"/>
      <c r="CG38" s="7"/>
      <c r="CH38" s="7"/>
      <c r="CI38" s="13">
        <v>0</v>
      </c>
      <c r="CJ38" s="189">
        <v>0</v>
      </c>
      <c r="CK38" s="13">
        <v>0</v>
      </c>
      <c r="CL38" s="13"/>
      <c r="CM38" s="13">
        <v>0</v>
      </c>
      <c r="CN38" s="14">
        <v>0</v>
      </c>
      <c r="CO38" s="13">
        <v>0</v>
      </c>
      <c r="CP38" s="189">
        <v>2249.79</v>
      </c>
      <c r="CQ38" s="13">
        <f t="shared" si="35"/>
        <v>0</v>
      </c>
      <c r="CR38" s="13">
        <v>0</v>
      </c>
      <c r="CS38" s="189">
        <v>445.51</v>
      </c>
      <c r="CT38" s="13">
        <f t="shared" si="54"/>
        <v>0</v>
      </c>
      <c r="CU38" s="13">
        <v>0</v>
      </c>
      <c r="CV38" s="189">
        <v>2249.79</v>
      </c>
      <c r="CW38" s="13">
        <f t="shared" si="36"/>
        <v>0</v>
      </c>
      <c r="CX38" s="13">
        <v>0</v>
      </c>
      <c r="CY38" s="189">
        <v>2249.79</v>
      </c>
      <c r="CZ38" s="13">
        <f t="shared" si="37"/>
        <v>0</v>
      </c>
      <c r="DA38" s="13">
        <v>0</v>
      </c>
      <c r="DB38" s="189">
        <v>464.26</v>
      </c>
      <c r="DC38" s="13">
        <f t="shared" si="38"/>
        <v>0</v>
      </c>
      <c r="DD38" s="13">
        <v>0</v>
      </c>
      <c r="DE38" s="189">
        <v>2249.79</v>
      </c>
      <c r="DF38" s="13">
        <f t="shared" si="39"/>
        <v>0</v>
      </c>
      <c r="DG38" s="13">
        <v>0</v>
      </c>
      <c r="DH38" s="189">
        <v>2249.79</v>
      </c>
      <c r="DI38" s="13">
        <f t="shared" si="40"/>
        <v>0</v>
      </c>
      <c r="DJ38" s="13">
        <v>0</v>
      </c>
      <c r="DK38" s="13">
        <v>504.26</v>
      </c>
      <c r="DL38" s="13">
        <f t="shared" si="41"/>
        <v>0</v>
      </c>
      <c r="DM38" s="13">
        <v>0</v>
      </c>
      <c r="DN38" s="189">
        <v>2249.79</v>
      </c>
      <c r="DO38" s="16">
        <f t="shared" si="42"/>
        <v>0</v>
      </c>
      <c r="DP38" s="196"/>
    </row>
    <row r="39" spans="1:120" ht="33" customHeight="1" x14ac:dyDescent="0.25">
      <c r="A39" s="17" t="s">
        <v>60</v>
      </c>
      <c r="B39" s="9"/>
      <c r="C39" s="19" t="s">
        <v>62</v>
      </c>
      <c r="D39" s="9"/>
      <c r="E39" s="10"/>
      <c r="F39" s="11"/>
      <c r="G39" s="7"/>
      <c r="H39" s="10"/>
      <c r="I39" s="7"/>
      <c r="J39" s="10"/>
      <c r="K39" s="7">
        <f>K36*0.15</f>
        <v>738.72</v>
      </c>
      <c r="L39" s="241">
        <v>299.54000000000002</v>
      </c>
      <c r="M39" s="187">
        <f>K39*L39</f>
        <v>221276.18880000003</v>
      </c>
      <c r="N39" s="7"/>
      <c r="O39" s="7">
        <f t="shared" si="72"/>
        <v>428.45760000000001</v>
      </c>
      <c r="P39" s="7"/>
      <c r="Q39" s="7"/>
      <c r="R39" s="188"/>
      <c r="S39" s="7"/>
      <c r="T39" s="7"/>
      <c r="U39" s="7"/>
      <c r="V39" s="7"/>
      <c r="W39" s="7">
        <f t="shared" si="8"/>
        <v>51.710400000000007</v>
      </c>
      <c r="X39" s="247">
        <v>14</v>
      </c>
      <c r="Y39" s="187">
        <f t="shared" si="9"/>
        <v>723.94560000000013</v>
      </c>
      <c r="Z39" s="9"/>
      <c r="AA39" s="9"/>
      <c r="AB39" s="9"/>
      <c r="AC39" s="10"/>
      <c r="AD39" s="11"/>
      <c r="AE39" s="7"/>
      <c r="AF39" s="10"/>
      <c r="AG39" s="11"/>
      <c r="AH39" s="10"/>
      <c r="AI39" s="7">
        <v>0</v>
      </c>
      <c r="AJ39" s="250">
        <v>299.14</v>
      </c>
      <c r="AK39" s="187">
        <v>0</v>
      </c>
      <c r="AL39" s="7"/>
      <c r="AM39" s="7">
        <v>0</v>
      </c>
      <c r="AN39" s="7"/>
      <c r="AO39" s="11"/>
      <c r="AP39" s="10"/>
      <c r="AQ39" s="7"/>
      <c r="AR39" s="7"/>
      <c r="AS39" s="7"/>
      <c r="AT39" s="7"/>
      <c r="AU39" s="12"/>
      <c r="AV39" s="12"/>
      <c r="AW39" s="10"/>
      <c r="AX39" s="11"/>
      <c r="AY39" s="7"/>
      <c r="AZ39" s="10"/>
      <c r="BA39" s="11"/>
      <c r="BB39" s="10"/>
      <c r="BC39" s="7">
        <v>0</v>
      </c>
      <c r="BD39" s="247">
        <v>272.26</v>
      </c>
      <c r="BE39" s="187">
        <v>0</v>
      </c>
      <c r="BF39" s="7"/>
      <c r="BG39" s="7">
        <v>0</v>
      </c>
      <c r="BH39" s="7"/>
      <c r="BI39" s="11"/>
      <c r="BJ39" s="10"/>
      <c r="BK39" s="7"/>
      <c r="BL39" s="7"/>
      <c r="BM39" s="7"/>
      <c r="BN39" s="7"/>
      <c r="BO39" s="11"/>
      <c r="BP39" s="11"/>
      <c r="BQ39" s="11"/>
      <c r="BR39" s="11"/>
      <c r="BS39" s="11"/>
      <c r="BT39" s="7"/>
      <c r="BU39" s="11"/>
      <c r="BV39" s="11"/>
      <c r="BW39" s="11"/>
      <c r="BX39" s="7">
        <v>0</v>
      </c>
      <c r="BY39" s="247">
        <v>0</v>
      </c>
      <c r="BZ39" s="187">
        <v>0</v>
      </c>
      <c r="CA39" s="7"/>
      <c r="CB39" s="7">
        <v>0</v>
      </c>
      <c r="CC39" s="7"/>
      <c r="CD39" s="11"/>
      <c r="CE39" s="7"/>
      <c r="CF39" s="7"/>
      <c r="CG39" s="7"/>
      <c r="CH39" s="7"/>
      <c r="CI39" s="13">
        <v>0</v>
      </c>
      <c r="CJ39" s="189">
        <v>0</v>
      </c>
      <c r="CK39" s="13">
        <v>0</v>
      </c>
      <c r="CL39" s="13"/>
      <c r="CM39" s="13">
        <v>0</v>
      </c>
      <c r="CN39" s="14">
        <v>0</v>
      </c>
      <c r="CO39" s="13">
        <v>0</v>
      </c>
      <c r="CP39" s="189">
        <v>2249.79</v>
      </c>
      <c r="CQ39" s="13">
        <f t="shared" si="35"/>
        <v>0</v>
      </c>
      <c r="CR39" s="13">
        <v>0</v>
      </c>
      <c r="CS39" s="189">
        <v>445.51</v>
      </c>
      <c r="CT39" s="13">
        <f t="shared" si="54"/>
        <v>0</v>
      </c>
      <c r="CU39" s="13">
        <v>0</v>
      </c>
      <c r="CV39" s="189">
        <v>2249.79</v>
      </c>
      <c r="CW39" s="13">
        <f t="shared" si="36"/>
        <v>0</v>
      </c>
      <c r="CX39" s="13">
        <v>0</v>
      </c>
      <c r="CY39" s="189">
        <v>2249.79</v>
      </c>
      <c r="CZ39" s="13">
        <f t="shared" si="37"/>
        <v>0</v>
      </c>
      <c r="DA39" s="13">
        <v>0</v>
      </c>
      <c r="DB39" s="189">
        <v>464.26</v>
      </c>
      <c r="DC39" s="13">
        <f t="shared" si="38"/>
        <v>0</v>
      </c>
      <c r="DD39" s="13">
        <v>0</v>
      </c>
      <c r="DE39" s="189">
        <v>2249.79</v>
      </c>
      <c r="DF39" s="13">
        <f t="shared" si="39"/>
        <v>0</v>
      </c>
      <c r="DG39" s="13">
        <v>0</v>
      </c>
      <c r="DH39" s="189">
        <v>2249.79</v>
      </c>
      <c r="DI39" s="13">
        <f t="shared" si="40"/>
        <v>0</v>
      </c>
      <c r="DJ39" s="13">
        <v>0</v>
      </c>
      <c r="DK39" s="13">
        <v>504.26</v>
      </c>
      <c r="DL39" s="13">
        <f t="shared" si="41"/>
        <v>0</v>
      </c>
      <c r="DM39" s="13">
        <v>0</v>
      </c>
      <c r="DN39" s="189">
        <v>2249.79</v>
      </c>
      <c r="DO39" s="16">
        <f t="shared" si="42"/>
        <v>0</v>
      </c>
      <c r="DP39" s="196"/>
    </row>
    <row r="40" spans="1:120" ht="48.75" customHeight="1" x14ac:dyDescent="0.25">
      <c r="A40" s="17" t="s">
        <v>60</v>
      </c>
      <c r="B40" s="9"/>
      <c r="C40" s="19" t="s">
        <v>63</v>
      </c>
      <c r="D40" s="9"/>
      <c r="E40" s="10"/>
      <c r="F40" s="11"/>
      <c r="G40" s="7"/>
      <c r="H40" s="10"/>
      <c r="I40" s="7"/>
      <c r="J40" s="10"/>
      <c r="K40" s="7">
        <v>0</v>
      </c>
      <c r="L40" s="241">
        <v>299.54000000000002</v>
      </c>
      <c r="M40" s="187">
        <v>0</v>
      </c>
      <c r="N40" s="7"/>
      <c r="O40" s="7">
        <v>0</v>
      </c>
      <c r="P40" s="7"/>
      <c r="Q40" s="7"/>
      <c r="R40" s="188"/>
      <c r="S40" s="7"/>
      <c r="T40" s="7"/>
      <c r="U40" s="7"/>
      <c r="V40" s="7"/>
      <c r="W40" s="7">
        <f t="shared" si="8"/>
        <v>0</v>
      </c>
      <c r="X40" s="247">
        <v>14</v>
      </c>
      <c r="Y40" s="187">
        <f t="shared" si="9"/>
        <v>0</v>
      </c>
      <c r="Z40" s="9"/>
      <c r="AA40" s="9"/>
      <c r="AB40" s="9"/>
      <c r="AC40" s="10"/>
      <c r="AD40" s="11"/>
      <c r="AE40" s="7"/>
      <c r="AF40" s="10"/>
      <c r="AG40" s="11"/>
      <c r="AH40" s="10"/>
      <c r="AI40" s="7">
        <v>0</v>
      </c>
      <c r="AJ40" s="250">
        <v>299.14</v>
      </c>
      <c r="AK40" s="187">
        <v>0</v>
      </c>
      <c r="AL40" s="7"/>
      <c r="AM40" s="7">
        <v>0</v>
      </c>
      <c r="AN40" s="7"/>
      <c r="AO40" s="11"/>
      <c r="AP40" s="10"/>
      <c r="AQ40" s="7"/>
      <c r="AR40" s="7"/>
      <c r="AS40" s="7"/>
      <c r="AT40" s="7"/>
      <c r="AU40" s="12"/>
      <c r="AV40" s="12"/>
      <c r="AW40" s="10"/>
      <c r="AX40" s="11"/>
      <c r="AY40" s="7"/>
      <c r="AZ40" s="10"/>
      <c r="BA40" s="11"/>
      <c r="BB40" s="10"/>
      <c r="BC40" s="7">
        <v>0</v>
      </c>
      <c r="BD40" s="247">
        <v>272.26</v>
      </c>
      <c r="BE40" s="187">
        <v>0</v>
      </c>
      <c r="BF40" s="7"/>
      <c r="BG40" s="7">
        <v>0</v>
      </c>
      <c r="BH40" s="7"/>
      <c r="BI40" s="11"/>
      <c r="BJ40" s="10"/>
      <c r="BK40" s="7"/>
      <c r="BL40" s="7"/>
      <c r="BM40" s="7"/>
      <c r="BN40" s="7"/>
      <c r="BO40" s="11"/>
      <c r="BP40" s="11"/>
      <c r="BQ40" s="11"/>
      <c r="BR40" s="11"/>
      <c r="BS40" s="11"/>
      <c r="BT40" s="7"/>
      <c r="BU40" s="11"/>
      <c r="BV40" s="11"/>
      <c r="BW40" s="11"/>
      <c r="BX40" s="7">
        <v>0</v>
      </c>
      <c r="BY40" s="247">
        <v>0</v>
      </c>
      <c r="BZ40" s="187">
        <v>0</v>
      </c>
      <c r="CA40" s="7"/>
      <c r="CB40" s="7">
        <v>0</v>
      </c>
      <c r="CC40" s="7"/>
      <c r="CD40" s="11"/>
      <c r="CE40" s="7"/>
      <c r="CF40" s="7"/>
      <c r="CG40" s="7"/>
      <c r="CH40" s="7"/>
      <c r="CI40" s="13">
        <v>0</v>
      </c>
      <c r="CJ40" s="189">
        <v>0</v>
      </c>
      <c r="CK40" s="13">
        <v>0</v>
      </c>
      <c r="CL40" s="13"/>
      <c r="CM40" s="13">
        <v>0</v>
      </c>
      <c r="CN40" s="14">
        <v>0</v>
      </c>
      <c r="CO40" s="13">
        <v>0</v>
      </c>
      <c r="CP40" s="189">
        <v>2249.79</v>
      </c>
      <c r="CQ40" s="13">
        <f t="shared" si="35"/>
        <v>0</v>
      </c>
      <c r="CR40" s="13">
        <v>0</v>
      </c>
      <c r="CS40" s="189">
        <v>445.51</v>
      </c>
      <c r="CT40" s="13">
        <f t="shared" si="54"/>
        <v>0</v>
      </c>
      <c r="CU40" s="13">
        <v>0</v>
      </c>
      <c r="CV40" s="189">
        <v>2249.79</v>
      </c>
      <c r="CW40" s="13">
        <f t="shared" si="36"/>
        <v>0</v>
      </c>
      <c r="CX40" s="13">
        <v>0</v>
      </c>
      <c r="CY40" s="189">
        <v>2249.79</v>
      </c>
      <c r="CZ40" s="13">
        <f t="shared" si="37"/>
        <v>0</v>
      </c>
      <c r="DA40" s="13">
        <v>0</v>
      </c>
      <c r="DB40" s="189">
        <v>464.26</v>
      </c>
      <c r="DC40" s="13">
        <f t="shared" si="38"/>
        <v>0</v>
      </c>
      <c r="DD40" s="13">
        <v>0</v>
      </c>
      <c r="DE40" s="189">
        <v>2249.79</v>
      </c>
      <c r="DF40" s="13">
        <f t="shared" si="39"/>
        <v>0</v>
      </c>
      <c r="DG40" s="13">
        <v>0</v>
      </c>
      <c r="DH40" s="189">
        <v>2249.79</v>
      </c>
      <c r="DI40" s="13">
        <f t="shared" si="40"/>
        <v>0</v>
      </c>
      <c r="DJ40" s="13">
        <v>0</v>
      </c>
      <c r="DK40" s="13">
        <v>504.26</v>
      </c>
      <c r="DL40" s="13">
        <f t="shared" si="41"/>
        <v>0</v>
      </c>
      <c r="DM40" s="13">
        <v>0</v>
      </c>
      <c r="DN40" s="189">
        <v>2249.79</v>
      </c>
      <c r="DO40" s="16">
        <f t="shared" si="42"/>
        <v>0</v>
      </c>
      <c r="DP40" s="196"/>
    </row>
    <row r="41" spans="1:120" s="143" customFormat="1" x14ac:dyDescent="0.25">
      <c r="A41" s="218" t="s">
        <v>64</v>
      </c>
      <c r="B41" s="112">
        <v>5029</v>
      </c>
      <c r="C41" s="220"/>
      <c r="D41" s="112">
        <v>8800</v>
      </c>
      <c r="E41" s="113">
        <f t="shared" si="62"/>
        <v>0.57147727272727278</v>
      </c>
      <c r="F41" s="114">
        <v>4</v>
      </c>
      <c r="G41" s="115">
        <f>$B41*$G$98/$B$95</f>
        <v>4044.4444889374095</v>
      </c>
      <c r="H41" s="113">
        <f t="shared" si="0"/>
        <v>0.45959596465197833</v>
      </c>
      <c r="I41" s="115">
        <f>D41*55%</f>
        <v>4840</v>
      </c>
      <c r="J41" s="113">
        <f t="shared" si="1"/>
        <v>0.55000000000000004</v>
      </c>
      <c r="K41" s="115">
        <f t="shared" si="43"/>
        <v>3678.4</v>
      </c>
      <c r="L41" s="241">
        <v>299.54000000000002</v>
      </c>
      <c r="M41" s="119">
        <f t="shared" si="2"/>
        <v>1101827.936</v>
      </c>
      <c r="N41" s="115">
        <f t="shared" si="3"/>
        <v>3872</v>
      </c>
      <c r="O41" s="115">
        <f t="shared" si="44"/>
        <v>2133.4719999999998</v>
      </c>
      <c r="P41" s="115">
        <f t="shared" si="45"/>
        <v>3533.2</v>
      </c>
      <c r="Q41" s="115">
        <f>D41*67%</f>
        <v>5896</v>
      </c>
      <c r="R41" s="116">
        <f t="shared" si="4"/>
        <v>0.67</v>
      </c>
      <c r="S41" s="115">
        <f t="shared" si="5"/>
        <v>4480.96</v>
      </c>
      <c r="T41" s="115">
        <f t="shared" si="6"/>
        <v>4716.8</v>
      </c>
      <c r="U41" s="115">
        <f t="shared" si="46"/>
        <v>2598.9567999999999</v>
      </c>
      <c r="V41" s="115">
        <f t="shared" si="7"/>
        <v>4304.08</v>
      </c>
      <c r="W41" s="115">
        <f t="shared" si="8"/>
        <v>257.48800000000006</v>
      </c>
      <c r="X41" s="246">
        <v>14</v>
      </c>
      <c r="Y41" s="119">
        <f t="shared" si="9"/>
        <v>3604.8320000000008</v>
      </c>
      <c r="Z41" s="112">
        <v>541</v>
      </c>
      <c r="AA41" s="112"/>
      <c r="AB41" s="112">
        <v>1700</v>
      </c>
      <c r="AC41" s="113">
        <f t="shared" si="10"/>
        <v>0.31823529411764706</v>
      </c>
      <c r="AD41" s="114">
        <v>3</v>
      </c>
      <c r="AE41" s="115">
        <f>$Z41</f>
        <v>541</v>
      </c>
      <c r="AF41" s="113">
        <f t="shared" si="11"/>
        <v>0.31823529411764706</v>
      </c>
      <c r="AG41" s="117">
        <f>AB41*50%</f>
        <v>850</v>
      </c>
      <c r="AH41" s="113">
        <f t="shared" si="12"/>
        <v>0.5</v>
      </c>
      <c r="AI41" s="115">
        <f t="shared" si="47"/>
        <v>637.5</v>
      </c>
      <c r="AJ41" s="250">
        <v>299.14</v>
      </c>
      <c r="AK41" s="119">
        <f t="shared" si="13"/>
        <v>190701.75</v>
      </c>
      <c r="AL41" s="115">
        <f t="shared" si="14"/>
        <v>688.5</v>
      </c>
      <c r="AM41" s="115">
        <f t="shared" si="15"/>
        <v>420.75</v>
      </c>
      <c r="AN41" s="115">
        <f t="shared" si="16"/>
        <v>722.5</v>
      </c>
      <c r="AO41" s="117">
        <f>AB41*61%</f>
        <v>1037</v>
      </c>
      <c r="AP41" s="113">
        <f t="shared" si="18"/>
        <v>0.61</v>
      </c>
      <c r="AQ41" s="115">
        <f t="shared" si="48"/>
        <v>777.75</v>
      </c>
      <c r="AR41" s="115">
        <f t="shared" si="49"/>
        <v>839.97</v>
      </c>
      <c r="AS41" s="115">
        <f t="shared" si="19"/>
        <v>528.87</v>
      </c>
      <c r="AT41" s="115">
        <f t="shared" si="20"/>
        <v>912.56000000000006</v>
      </c>
      <c r="AU41" s="118">
        <v>418</v>
      </c>
      <c r="AV41" s="118">
        <v>3500</v>
      </c>
      <c r="AW41" s="113">
        <f t="shared" si="21"/>
        <v>0.11942857142857143</v>
      </c>
      <c r="AX41" s="114">
        <v>-1</v>
      </c>
      <c r="AY41" s="115">
        <f>AV41*12%</f>
        <v>420</v>
      </c>
      <c r="AZ41" s="113">
        <f t="shared" si="22"/>
        <v>0.12</v>
      </c>
      <c r="BA41" s="114">
        <f>AV41*12%</f>
        <v>420</v>
      </c>
      <c r="BB41" s="113">
        <f t="shared" si="23"/>
        <v>0.12</v>
      </c>
      <c r="BC41" s="115">
        <f t="shared" si="50"/>
        <v>294</v>
      </c>
      <c r="BD41" s="247">
        <v>272.26</v>
      </c>
      <c r="BE41" s="119">
        <f t="shared" si="24"/>
        <v>80044.44</v>
      </c>
      <c r="BF41" s="115">
        <f t="shared" si="51"/>
        <v>302.39999999999998</v>
      </c>
      <c r="BG41" s="115">
        <f t="shared" si="25"/>
        <v>202.85999999999999</v>
      </c>
      <c r="BH41" s="115">
        <f t="shared" si="26"/>
        <v>348.59999999999997</v>
      </c>
      <c r="BI41" s="114">
        <f>AV41*12%</f>
        <v>420</v>
      </c>
      <c r="BJ41" s="113">
        <f t="shared" si="27"/>
        <v>0.12</v>
      </c>
      <c r="BK41" s="115">
        <f t="shared" si="52"/>
        <v>298.2</v>
      </c>
      <c r="BL41" s="115">
        <f t="shared" si="53"/>
        <v>302.39999999999998</v>
      </c>
      <c r="BM41" s="115">
        <f t="shared" si="65"/>
        <v>205.75799999999998</v>
      </c>
      <c r="BN41" s="115">
        <f t="shared" si="29"/>
        <v>348.59999999999997</v>
      </c>
      <c r="BO41" s="114"/>
      <c r="BP41" s="114"/>
      <c r="BQ41" s="114"/>
      <c r="BR41" s="114"/>
      <c r="BS41" s="115">
        <f>900*0.5%</f>
        <v>4.5</v>
      </c>
      <c r="BT41" s="115">
        <f>1700*1.5%</f>
        <v>25.5</v>
      </c>
      <c r="BU41" s="114">
        <v>15</v>
      </c>
      <c r="BV41" s="114"/>
      <c r="BW41" s="114">
        <v>0</v>
      </c>
      <c r="BX41" s="115">
        <v>0</v>
      </c>
      <c r="BY41" s="246"/>
      <c r="BZ41" s="119">
        <f t="shared" si="30"/>
        <v>0</v>
      </c>
      <c r="CA41" s="115"/>
      <c r="CB41" s="115"/>
      <c r="CC41" s="115"/>
      <c r="CD41" s="114"/>
      <c r="CE41" s="115"/>
      <c r="CF41" s="115"/>
      <c r="CG41" s="115"/>
      <c r="CH41" s="115"/>
      <c r="CI41" s="139"/>
      <c r="CJ41" s="140"/>
      <c r="CK41" s="139">
        <f t="shared" si="64"/>
        <v>0</v>
      </c>
      <c r="CL41" s="139"/>
      <c r="CM41" s="139">
        <v>1440</v>
      </c>
      <c r="CN41" s="185">
        <v>0</v>
      </c>
      <c r="CO41" s="139">
        <f>SUM(CO42:CO43)</f>
        <v>13</v>
      </c>
      <c r="CP41" s="140">
        <v>2249.79</v>
      </c>
      <c r="CQ41" s="139">
        <f t="shared" si="35"/>
        <v>29247.27</v>
      </c>
      <c r="CR41" s="139">
        <v>0</v>
      </c>
      <c r="CS41" s="140">
        <v>445.51</v>
      </c>
      <c r="CT41" s="139">
        <f t="shared" si="54"/>
        <v>0</v>
      </c>
      <c r="CU41" s="139">
        <v>0</v>
      </c>
      <c r="CV41" s="140">
        <v>2249.79</v>
      </c>
      <c r="CW41" s="139">
        <f t="shared" si="36"/>
        <v>0</v>
      </c>
      <c r="CX41" s="139">
        <v>0</v>
      </c>
      <c r="CY41" s="140">
        <v>2249.79</v>
      </c>
      <c r="CZ41" s="139">
        <f t="shared" si="37"/>
        <v>0</v>
      </c>
      <c r="DA41" s="139">
        <v>0</v>
      </c>
      <c r="DB41" s="140">
        <v>464.26</v>
      </c>
      <c r="DC41" s="139">
        <f t="shared" si="38"/>
        <v>0</v>
      </c>
      <c r="DD41" s="139">
        <v>0</v>
      </c>
      <c r="DE41" s="140">
        <v>2249.79</v>
      </c>
      <c r="DF41" s="139">
        <f t="shared" si="39"/>
        <v>0</v>
      </c>
      <c r="DG41" s="139">
        <v>0</v>
      </c>
      <c r="DH41" s="140">
        <v>2249.79</v>
      </c>
      <c r="DI41" s="139">
        <f t="shared" si="40"/>
        <v>0</v>
      </c>
      <c r="DJ41" s="139">
        <v>0</v>
      </c>
      <c r="DK41" s="139">
        <v>504.26</v>
      </c>
      <c r="DL41" s="139">
        <f t="shared" si="41"/>
        <v>0</v>
      </c>
      <c r="DM41" s="139">
        <v>0</v>
      </c>
      <c r="DN41" s="140">
        <v>2249.79</v>
      </c>
      <c r="DO41" s="205">
        <f t="shared" si="42"/>
        <v>0</v>
      </c>
      <c r="DP41" s="197"/>
    </row>
    <row r="42" spans="1:120" ht="38.25" x14ac:dyDescent="0.25">
      <c r="A42" s="17" t="s">
        <v>64</v>
      </c>
      <c r="B42" s="9"/>
      <c r="C42" s="19" t="s">
        <v>65</v>
      </c>
      <c r="D42" s="9"/>
      <c r="E42" s="10"/>
      <c r="F42" s="11"/>
      <c r="G42" s="7"/>
      <c r="H42" s="10"/>
      <c r="I42" s="7"/>
      <c r="J42" s="10"/>
      <c r="K42" s="7">
        <v>3678</v>
      </c>
      <c r="L42" s="241">
        <v>299.54000000000002</v>
      </c>
      <c r="M42" s="187">
        <f>K42*L42</f>
        <v>1101708.1200000001</v>
      </c>
      <c r="N42" s="7"/>
      <c r="O42" s="7">
        <f>K42*58%</f>
        <v>2133.2399999999998</v>
      </c>
      <c r="P42" s="7"/>
      <c r="Q42" s="7"/>
      <c r="R42" s="188"/>
      <c r="S42" s="7"/>
      <c r="T42" s="7"/>
      <c r="U42" s="7"/>
      <c r="V42" s="7"/>
      <c r="W42" s="7">
        <f t="shared" si="8"/>
        <v>257.46000000000004</v>
      </c>
      <c r="X42" s="247">
        <v>14</v>
      </c>
      <c r="Y42" s="187">
        <f t="shared" si="9"/>
        <v>3604.4400000000005</v>
      </c>
      <c r="Z42" s="9"/>
      <c r="AA42" s="9"/>
      <c r="AB42" s="9"/>
      <c r="AC42" s="10"/>
      <c r="AD42" s="11"/>
      <c r="AE42" s="7"/>
      <c r="AF42" s="10"/>
      <c r="AG42" s="18"/>
      <c r="AH42" s="10"/>
      <c r="AI42" s="7">
        <f>AI41</f>
        <v>637.5</v>
      </c>
      <c r="AJ42" s="250">
        <v>299.14</v>
      </c>
      <c r="AK42" s="187">
        <f>AI42*AJ42</f>
        <v>190701.75</v>
      </c>
      <c r="AL42" s="7"/>
      <c r="AM42" s="7">
        <f>AI42*66%</f>
        <v>420.75</v>
      </c>
      <c r="AN42" s="7"/>
      <c r="AO42" s="18"/>
      <c r="AP42" s="10"/>
      <c r="AQ42" s="7"/>
      <c r="AR42" s="7"/>
      <c r="AS42" s="7"/>
      <c r="AT42" s="7"/>
      <c r="AU42" s="12"/>
      <c r="AV42" s="12"/>
      <c r="AW42" s="10"/>
      <c r="AX42" s="11"/>
      <c r="AY42" s="7"/>
      <c r="AZ42" s="10"/>
      <c r="BA42" s="11"/>
      <c r="BB42" s="10"/>
      <c r="BC42" s="7">
        <v>0</v>
      </c>
      <c r="BD42" s="247">
        <v>272.26</v>
      </c>
      <c r="BE42" s="187">
        <v>0</v>
      </c>
      <c r="BF42" s="7"/>
      <c r="BG42" s="7">
        <v>0</v>
      </c>
      <c r="BH42" s="7"/>
      <c r="BI42" s="11"/>
      <c r="BJ42" s="10"/>
      <c r="BK42" s="7"/>
      <c r="BL42" s="7"/>
      <c r="BM42" s="7"/>
      <c r="BN42" s="7"/>
      <c r="BO42" s="11"/>
      <c r="BP42" s="11"/>
      <c r="BQ42" s="11"/>
      <c r="BR42" s="11"/>
      <c r="BS42" s="7"/>
      <c r="BT42" s="7"/>
      <c r="BU42" s="11"/>
      <c r="BV42" s="11"/>
      <c r="BW42" s="11"/>
      <c r="BX42" s="7">
        <v>0</v>
      </c>
      <c r="BY42" s="247">
        <v>0</v>
      </c>
      <c r="BZ42" s="187">
        <v>0</v>
      </c>
      <c r="CA42" s="7">
        <v>6.8309999999999995</v>
      </c>
      <c r="CB42" s="7">
        <v>0</v>
      </c>
      <c r="CC42" s="7"/>
      <c r="CD42" s="11"/>
      <c r="CE42" s="7"/>
      <c r="CF42" s="7"/>
      <c r="CG42" s="7"/>
      <c r="CH42" s="7"/>
      <c r="CI42" s="13">
        <v>0</v>
      </c>
      <c r="CJ42" s="189">
        <v>0</v>
      </c>
      <c r="CK42" s="13">
        <f t="shared" si="64"/>
        <v>0</v>
      </c>
      <c r="CL42" s="13"/>
      <c r="CM42" s="13">
        <v>1440</v>
      </c>
      <c r="CN42" s="14">
        <v>0</v>
      </c>
      <c r="CO42" s="13">
        <v>13</v>
      </c>
      <c r="CP42" s="189">
        <v>2249.79</v>
      </c>
      <c r="CQ42" s="13">
        <f t="shared" si="35"/>
        <v>29247.27</v>
      </c>
      <c r="CR42" s="13">
        <v>0</v>
      </c>
      <c r="CS42" s="189">
        <v>445.51</v>
      </c>
      <c r="CT42" s="13">
        <f t="shared" si="54"/>
        <v>0</v>
      </c>
      <c r="CU42" s="13">
        <v>0</v>
      </c>
      <c r="CV42" s="189">
        <v>2249.79</v>
      </c>
      <c r="CW42" s="13">
        <f t="shared" si="36"/>
        <v>0</v>
      </c>
      <c r="CX42" s="13">
        <v>0</v>
      </c>
      <c r="CY42" s="189">
        <v>2249.79</v>
      </c>
      <c r="CZ42" s="13">
        <f t="shared" si="37"/>
        <v>0</v>
      </c>
      <c r="DA42" s="13">
        <v>0</v>
      </c>
      <c r="DB42" s="189">
        <v>464.26</v>
      </c>
      <c r="DC42" s="13">
        <f t="shared" si="38"/>
        <v>0</v>
      </c>
      <c r="DD42" s="13">
        <v>0</v>
      </c>
      <c r="DE42" s="189">
        <v>2249.79</v>
      </c>
      <c r="DF42" s="13">
        <f t="shared" si="39"/>
        <v>0</v>
      </c>
      <c r="DG42" s="13">
        <v>0</v>
      </c>
      <c r="DH42" s="189">
        <v>2249.79</v>
      </c>
      <c r="DI42" s="13">
        <f t="shared" si="40"/>
        <v>0</v>
      </c>
      <c r="DJ42" s="13">
        <v>0</v>
      </c>
      <c r="DK42" s="13">
        <v>504.26</v>
      </c>
      <c r="DL42" s="13">
        <f t="shared" si="41"/>
        <v>0</v>
      </c>
      <c r="DM42" s="13">
        <v>0</v>
      </c>
      <c r="DN42" s="189">
        <v>2249.79</v>
      </c>
      <c r="DO42" s="16">
        <f t="shared" si="42"/>
        <v>0</v>
      </c>
      <c r="DP42" s="196"/>
    </row>
    <row r="43" spans="1:120" ht="76.5" x14ac:dyDescent="0.25">
      <c r="A43" s="17" t="s">
        <v>64</v>
      </c>
      <c r="B43" s="9"/>
      <c r="C43" s="19" t="s">
        <v>66</v>
      </c>
      <c r="D43" s="9"/>
      <c r="E43" s="10"/>
      <c r="F43" s="11"/>
      <c r="G43" s="7"/>
      <c r="H43" s="10"/>
      <c r="I43" s="7"/>
      <c r="J43" s="10"/>
      <c r="K43" s="7">
        <v>0</v>
      </c>
      <c r="L43" s="241">
        <v>299.54000000000002</v>
      </c>
      <c r="M43" s="187">
        <v>0</v>
      </c>
      <c r="N43" s="7"/>
      <c r="O43" s="7">
        <v>0</v>
      </c>
      <c r="P43" s="7"/>
      <c r="Q43" s="7"/>
      <c r="R43" s="188"/>
      <c r="S43" s="7"/>
      <c r="T43" s="7"/>
      <c r="U43" s="7"/>
      <c r="V43" s="7"/>
      <c r="W43" s="7">
        <f t="shared" si="8"/>
        <v>0</v>
      </c>
      <c r="X43" s="247">
        <v>14</v>
      </c>
      <c r="Y43" s="187">
        <f t="shared" si="9"/>
        <v>0</v>
      </c>
      <c r="Z43" s="9"/>
      <c r="AA43" s="9"/>
      <c r="AB43" s="9"/>
      <c r="AC43" s="10"/>
      <c r="AD43" s="11"/>
      <c r="AE43" s="7"/>
      <c r="AF43" s="10"/>
      <c r="AG43" s="18"/>
      <c r="AH43" s="10"/>
      <c r="AI43" s="7">
        <v>0</v>
      </c>
      <c r="AJ43" s="250">
        <v>299.14</v>
      </c>
      <c r="AK43" s="187">
        <v>0</v>
      </c>
      <c r="AL43" s="7"/>
      <c r="AM43" s="7">
        <v>0</v>
      </c>
      <c r="AN43" s="7"/>
      <c r="AO43" s="18"/>
      <c r="AP43" s="10"/>
      <c r="AQ43" s="7"/>
      <c r="AR43" s="7"/>
      <c r="AS43" s="7"/>
      <c r="AT43" s="7"/>
      <c r="AU43" s="12"/>
      <c r="AV43" s="12"/>
      <c r="AW43" s="10"/>
      <c r="AX43" s="11"/>
      <c r="AY43" s="7"/>
      <c r="AZ43" s="10"/>
      <c r="BA43" s="11"/>
      <c r="BB43" s="10"/>
      <c r="BC43" s="7">
        <f>BC41</f>
        <v>294</v>
      </c>
      <c r="BD43" s="247">
        <v>272.26</v>
      </c>
      <c r="BE43" s="187">
        <f>BC43*BD43</f>
        <v>80044.44</v>
      </c>
      <c r="BF43" s="7"/>
      <c r="BG43" s="7">
        <f>BC43*69%</f>
        <v>202.85999999999999</v>
      </c>
      <c r="BH43" s="7"/>
      <c r="BI43" s="11"/>
      <c r="BJ43" s="10"/>
      <c r="BK43" s="7"/>
      <c r="BL43" s="7"/>
      <c r="BM43" s="7"/>
      <c r="BN43" s="7"/>
      <c r="BO43" s="11"/>
      <c r="BP43" s="11"/>
      <c r="BQ43" s="11"/>
      <c r="BR43" s="11"/>
      <c r="BS43" s="7"/>
      <c r="BT43" s="7"/>
      <c r="BU43" s="11"/>
      <c r="BV43" s="11"/>
      <c r="BW43" s="11"/>
      <c r="BX43" s="7">
        <v>0</v>
      </c>
      <c r="BY43" s="247">
        <v>0</v>
      </c>
      <c r="BZ43" s="187">
        <v>0</v>
      </c>
      <c r="CA43" s="7">
        <v>6.8309999999999995</v>
      </c>
      <c r="CB43" s="7">
        <v>0</v>
      </c>
      <c r="CC43" s="7"/>
      <c r="CD43" s="11"/>
      <c r="CE43" s="7"/>
      <c r="CF43" s="7"/>
      <c r="CG43" s="7"/>
      <c r="CH43" s="7"/>
      <c r="CI43" s="13">
        <v>0</v>
      </c>
      <c r="CJ43" s="189">
        <v>0</v>
      </c>
      <c r="CK43" s="13">
        <f t="shared" si="64"/>
        <v>0</v>
      </c>
      <c r="CL43" s="13"/>
      <c r="CM43" s="13">
        <v>1440</v>
      </c>
      <c r="CN43" s="14">
        <v>0</v>
      </c>
      <c r="CO43" s="13">
        <v>0</v>
      </c>
      <c r="CP43" s="189">
        <v>2249.79</v>
      </c>
      <c r="CQ43" s="13">
        <f t="shared" si="35"/>
        <v>0</v>
      </c>
      <c r="CR43" s="13">
        <v>0</v>
      </c>
      <c r="CS43" s="189">
        <v>445.51</v>
      </c>
      <c r="CT43" s="13">
        <f t="shared" si="54"/>
        <v>0</v>
      </c>
      <c r="CU43" s="13">
        <v>0</v>
      </c>
      <c r="CV43" s="189">
        <v>2249.79</v>
      </c>
      <c r="CW43" s="13">
        <f t="shared" si="36"/>
        <v>0</v>
      </c>
      <c r="CX43" s="13">
        <v>0</v>
      </c>
      <c r="CY43" s="189">
        <v>2249.79</v>
      </c>
      <c r="CZ43" s="13">
        <f t="shared" si="37"/>
        <v>0</v>
      </c>
      <c r="DA43" s="13">
        <v>0</v>
      </c>
      <c r="DB43" s="189">
        <v>464.26</v>
      </c>
      <c r="DC43" s="13">
        <f t="shared" si="38"/>
        <v>0</v>
      </c>
      <c r="DD43" s="13">
        <v>0</v>
      </c>
      <c r="DE43" s="189">
        <v>2249.79</v>
      </c>
      <c r="DF43" s="13">
        <f t="shared" si="39"/>
        <v>0</v>
      </c>
      <c r="DG43" s="13">
        <v>0</v>
      </c>
      <c r="DH43" s="189">
        <v>2249.79</v>
      </c>
      <c r="DI43" s="13">
        <f t="shared" si="40"/>
        <v>0</v>
      </c>
      <c r="DJ43" s="13">
        <v>0</v>
      </c>
      <c r="DK43" s="13">
        <v>504.26</v>
      </c>
      <c r="DL43" s="13">
        <f t="shared" si="41"/>
        <v>0</v>
      </c>
      <c r="DM43" s="13">
        <v>0</v>
      </c>
      <c r="DN43" s="189">
        <v>2249.79</v>
      </c>
      <c r="DO43" s="16">
        <f t="shared" si="42"/>
        <v>0</v>
      </c>
      <c r="DP43" s="196"/>
    </row>
    <row r="44" spans="1:120" s="143" customFormat="1" ht="25.5" x14ac:dyDescent="0.25">
      <c r="A44" s="218" t="s">
        <v>67</v>
      </c>
      <c r="B44" s="112"/>
      <c r="C44" s="220"/>
      <c r="D44" s="112"/>
      <c r="E44" s="113"/>
      <c r="F44" s="114"/>
      <c r="G44" s="117"/>
      <c r="H44" s="113"/>
      <c r="I44" s="117"/>
      <c r="J44" s="113"/>
      <c r="K44" s="115">
        <v>3040</v>
      </c>
      <c r="L44" s="241">
        <v>299.54000000000002</v>
      </c>
      <c r="M44" s="119">
        <f>K44*L44</f>
        <v>910601.60000000009</v>
      </c>
      <c r="N44" s="115"/>
      <c r="O44" s="115">
        <f>ROUND(K44*58%,0)</f>
        <v>1763</v>
      </c>
      <c r="P44" s="115"/>
      <c r="Q44" s="117"/>
      <c r="R44" s="116"/>
      <c r="S44" s="115"/>
      <c r="T44" s="115"/>
      <c r="U44" s="115"/>
      <c r="V44" s="115"/>
      <c r="W44" s="115">
        <f t="shared" si="8"/>
        <v>212.8</v>
      </c>
      <c r="X44" s="246">
        <v>14</v>
      </c>
      <c r="Y44" s="119">
        <f t="shared" si="9"/>
        <v>2979.2000000000003</v>
      </c>
      <c r="Z44" s="112"/>
      <c r="AA44" s="112"/>
      <c r="AB44" s="112"/>
      <c r="AC44" s="113"/>
      <c r="AD44" s="114"/>
      <c r="AE44" s="115"/>
      <c r="AF44" s="113"/>
      <c r="AG44" s="115"/>
      <c r="AH44" s="113"/>
      <c r="AI44" s="115">
        <v>640</v>
      </c>
      <c r="AJ44" s="250">
        <v>299.14</v>
      </c>
      <c r="AK44" s="119">
        <f>AI44*AJ44</f>
        <v>191449.59999999998</v>
      </c>
      <c r="AL44" s="115"/>
      <c r="AM44" s="115">
        <f t="shared" si="15"/>
        <v>422.40000000000003</v>
      </c>
      <c r="AN44" s="115"/>
      <c r="AO44" s="115"/>
      <c r="AP44" s="113"/>
      <c r="AQ44" s="115"/>
      <c r="AR44" s="115"/>
      <c r="AS44" s="115"/>
      <c r="AT44" s="115"/>
      <c r="AU44" s="118"/>
      <c r="AV44" s="118"/>
      <c r="AW44" s="113"/>
      <c r="AX44" s="114"/>
      <c r="AY44" s="115"/>
      <c r="AZ44" s="113"/>
      <c r="BA44" s="114"/>
      <c r="BB44" s="113"/>
      <c r="BC44" s="115">
        <v>0</v>
      </c>
      <c r="BD44" s="247">
        <v>272.26</v>
      </c>
      <c r="BE44" s="119">
        <v>0</v>
      </c>
      <c r="BF44" s="115"/>
      <c r="BG44" s="115">
        <v>0</v>
      </c>
      <c r="BH44" s="115"/>
      <c r="BI44" s="114"/>
      <c r="BJ44" s="113"/>
      <c r="BK44" s="115"/>
      <c r="BL44" s="115"/>
      <c r="BM44" s="115"/>
      <c r="BN44" s="115"/>
      <c r="BO44" s="114"/>
      <c r="BP44" s="114"/>
      <c r="BQ44" s="114"/>
      <c r="BR44" s="114"/>
      <c r="BS44" s="114"/>
      <c r="BT44" s="114"/>
      <c r="BU44" s="114"/>
      <c r="BV44" s="114"/>
      <c r="BW44" s="114"/>
      <c r="BX44" s="115">
        <v>0</v>
      </c>
      <c r="BY44" s="246">
        <v>0</v>
      </c>
      <c r="BZ44" s="114">
        <v>0</v>
      </c>
      <c r="CA44" s="114">
        <v>6.8309999999999995</v>
      </c>
      <c r="CB44" s="114">
        <v>0</v>
      </c>
      <c r="CC44" s="114"/>
      <c r="CD44" s="114"/>
      <c r="CE44" s="114"/>
      <c r="CF44" s="114"/>
      <c r="CG44" s="114"/>
      <c r="CH44" s="114"/>
      <c r="CI44" s="114">
        <v>0</v>
      </c>
      <c r="CJ44" s="246">
        <v>0</v>
      </c>
      <c r="CK44" s="114">
        <f t="shared" si="64"/>
        <v>0</v>
      </c>
      <c r="CL44" s="139"/>
      <c r="CM44" s="139">
        <v>1440</v>
      </c>
      <c r="CN44" s="185">
        <v>177116</v>
      </c>
      <c r="CO44" s="139">
        <v>0</v>
      </c>
      <c r="CP44" s="140">
        <v>2249.79</v>
      </c>
      <c r="CQ44" s="139">
        <f t="shared" si="35"/>
        <v>0</v>
      </c>
      <c r="CR44" s="139">
        <v>0</v>
      </c>
      <c r="CS44" s="140">
        <v>445.51</v>
      </c>
      <c r="CT44" s="139">
        <f t="shared" si="54"/>
        <v>0</v>
      </c>
      <c r="CU44" s="139">
        <v>0</v>
      </c>
      <c r="CV44" s="140">
        <v>2249.79</v>
      </c>
      <c r="CW44" s="139">
        <f t="shared" si="36"/>
        <v>0</v>
      </c>
      <c r="CX44" s="139">
        <v>0</v>
      </c>
      <c r="CY44" s="140">
        <v>2249.79</v>
      </c>
      <c r="CZ44" s="139">
        <f t="shared" si="37"/>
        <v>0</v>
      </c>
      <c r="DA44" s="139">
        <v>0</v>
      </c>
      <c r="DB44" s="140">
        <v>464.26</v>
      </c>
      <c r="DC44" s="139">
        <f t="shared" si="38"/>
        <v>0</v>
      </c>
      <c r="DD44" s="139">
        <v>0</v>
      </c>
      <c r="DE44" s="140">
        <v>2249.79</v>
      </c>
      <c r="DF44" s="139">
        <f t="shared" si="39"/>
        <v>0</v>
      </c>
      <c r="DG44" s="139">
        <v>0</v>
      </c>
      <c r="DH44" s="140">
        <v>2249.79</v>
      </c>
      <c r="DI44" s="139">
        <f t="shared" si="40"/>
        <v>0</v>
      </c>
      <c r="DJ44" s="139">
        <v>0</v>
      </c>
      <c r="DK44" s="139">
        <v>504.26</v>
      </c>
      <c r="DL44" s="139">
        <f t="shared" si="41"/>
        <v>0</v>
      </c>
      <c r="DM44" s="139">
        <v>0</v>
      </c>
      <c r="DN44" s="140">
        <v>2249.79</v>
      </c>
      <c r="DO44" s="205">
        <f t="shared" si="42"/>
        <v>0</v>
      </c>
      <c r="DP44" s="197"/>
    </row>
    <row r="45" spans="1:120" ht="25.5" x14ac:dyDescent="0.25">
      <c r="A45" s="17" t="s">
        <v>67</v>
      </c>
      <c r="B45" s="9"/>
      <c r="C45" s="19" t="s">
        <v>68</v>
      </c>
      <c r="D45" s="9"/>
      <c r="E45" s="10"/>
      <c r="F45" s="11"/>
      <c r="G45" s="18"/>
      <c r="H45" s="10"/>
      <c r="I45" s="18"/>
      <c r="J45" s="10"/>
      <c r="K45" s="7">
        <v>3040</v>
      </c>
      <c r="L45" s="241">
        <v>299.54000000000002</v>
      </c>
      <c r="M45" s="187">
        <f>K45*L45</f>
        <v>910601.60000000009</v>
      </c>
      <c r="N45" s="7"/>
      <c r="O45" s="7">
        <f>K45*58%</f>
        <v>1763.1999999999998</v>
      </c>
      <c r="P45" s="7"/>
      <c r="Q45" s="18"/>
      <c r="R45" s="188"/>
      <c r="S45" s="7"/>
      <c r="T45" s="7"/>
      <c r="U45" s="7"/>
      <c r="V45" s="7"/>
      <c r="W45" s="7">
        <f t="shared" si="8"/>
        <v>212.8</v>
      </c>
      <c r="X45" s="247">
        <v>14</v>
      </c>
      <c r="Y45" s="187">
        <f t="shared" si="9"/>
        <v>2979.2000000000003</v>
      </c>
      <c r="Z45" s="9"/>
      <c r="AA45" s="9"/>
      <c r="AB45" s="9"/>
      <c r="AC45" s="10"/>
      <c r="AD45" s="11"/>
      <c r="AE45" s="7"/>
      <c r="AF45" s="10"/>
      <c r="AG45" s="7"/>
      <c r="AH45" s="10"/>
      <c r="AI45" s="7">
        <v>640</v>
      </c>
      <c r="AJ45" s="250">
        <v>299.14</v>
      </c>
      <c r="AK45" s="187">
        <f t="shared" ref="AK45" si="73">AI45*AJ45</f>
        <v>191449.59999999998</v>
      </c>
      <c r="AL45" s="7"/>
      <c r="AM45" s="7">
        <f t="shared" si="15"/>
        <v>422.40000000000003</v>
      </c>
      <c r="AN45" s="7"/>
      <c r="AO45" s="7"/>
      <c r="AP45" s="10"/>
      <c r="AQ45" s="7"/>
      <c r="AR45" s="7"/>
      <c r="AS45" s="7"/>
      <c r="AT45" s="7"/>
      <c r="AU45" s="12"/>
      <c r="AV45" s="12"/>
      <c r="AW45" s="10"/>
      <c r="AX45" s="11"/>
      <c r="AY45" s="7"/>
      <c r="AZ45" s="10"/>
      <c r="BA45" s="11"/>
      <c r="BB45" s="10"/>
      <c r="BC45" s="7">
        <v>0</v>
      </c>
      <c r="BD45" s="247">
        <v>272.26</v>
      </c>
      <c r="BE45" s="187">
        <v>0</v>
      </c>
      <c r="BF45" s="7"/>
      <c r="BG45" s="7">
        <v>0</v>
      </c>
      <c r="BH45" s="7"/>
      <c r="BI45" s="11"/>
      <c r="BJ45" s="10"/>
      <c r="BK45" s="7"/>
      <c r="BL45" s="7"/>
      <c r="BM45" s="7"/>
      <c r="BN45" s="7"/>
      <c r="BO45" s="11"/>
      <c r="BP45" s="11"/>
      <c r="BQ45" s="11"/>
      <c r="BR45" s="11"/>
      <c r="BS45" s="11"/>
      <c r="BT45" s="11"/>
      <c r="BU45" s="11"/>
      <c r="BV45" s="11"/>
      <c r="BW45" s="11"/>
      <c r="BX45" s="7">
        <v>0</v>
      </c>
      <c r="BY45" s="247">
        <v>0</v>
      </c>
      <c r="BZ45" s="187">
        <v>0</v>
      </c>
      <c r="CA45" s="7">
        <v>6.8309999999999995</v>
      </c>
      <c r="CB45" s="7">
        <v>0</v>
      </c>
      <c r="CC45" s="7"/>
      <c r="CD45" s="11"/>
      <c r="CE45" s="7"/>
      <c r="CF45" s="7"/>
      <c r="CG45" s="7"/>
      <c r="CH45" s="7"/>
      <c r="CI45" s="13">
        <v>0</v>
      </c>
      <c r="CJ45" s="189">
        <v>0</v>
      </c>
      <c r="CK45" s="13">
        <f t="shared" si="64"/>
        <v>0</v>
      </c>
      <c r="CL45" s="13" t="s">
        <v>136</v>
      </c>
      <c r="CM45" s="13">
        <v>1440</v>
      </c>
      <c r="CN45" s="14">
        <v>177116</v>
      </c>
      <c r="CO45" s="13">
        <v>0</v>
      </c>
      <c r="CP45" s="189">
        <v>2249.79</v>
      </c>
      <c r="CQ45" s="13">
        <f t="shared" si="35"/>
        <v>0</v>
      </c>
      <c r="CR45" s="13">
        <v>0</v>
      </c>
      <c r="CS45" s="189">
        <v>445.51</v>
      </c>
      <c r="CT45" s="13">
        <f t="shared" si="54"/>
        <v>0</v>
      </c>
      <c r="CU45" s="13">
        <v>0</v>
      </c>
      <c r="CV45" s="189">
        <v>2249.79</v>
      </c>
      <c r="CW45" s="13">
        <f t="shared" si="36"/>
        <v>0</v>
      </c>
      <c r="CX45" s="13">
        <v>0</v>
      </c>
      <c r="CY45" s="189">
        <v>2249.79</v>
      </c>
      <c r="CZ45" s="13">
        <f t="shared" si="37"/>
        <v>0</v>
      </c>
      <c r="DA45" s="13">
        <v>0</v>
      </c>
      <c r="DB45" s="189">
        <v>464.26</v>
      </c>
      <c r="DC45" s="13">
        <f t="shared" si="38"/>
        <v>0</v>
      </c>
      <c r="DD45" s="13">
        <v>0</v>
      </c>
      <c r="DE45" s="189">
        <v>2249.79</v>
      </c>
      <c r="DF45" s="13">
        <f t="shared" si="39"/>
        <v>0</v>
      </c>
      <c r="DG45" s="13">
        <v>0</v>
      </c>
      <c r="DH45" s="189">
        <v>2249.79</v>
      </c>
      <c r="DI45" s="13">
        <f t="shared" si="40"/>
        <v>0</v>
      </c>
      <c r="DJ45" s="13">
        <v>0</v>
      </c>
      <c r="DK45" s="13">
        <v>504.26</v>
      </c>
      <c r="DL45" s="13">
        <f t="shared" si="41"/>
        <v>0</v>
      </c>
      <c r="DM45" s="13">
        <v>0</v>
      </c>
      <c r="DN45" s="189">
        <v>2249.79</v>
      </c>
      <c r="DO45" s="16">
        <f t="shared" si="42"/>
        <v>0</v>
      </c>
      <c r="DP45" s="196"/>
    </row>
    <row r="46" spans="1:120" s="143" customFormat="1" x14ac:dyDescent="0.25">
      <c r="A46" s="218" t="s">
        <v>69</v>
      </c>
      <c r="B46" s="112">
        <v>6104</v>
      </c>
      <c r="C46" s="220"/>
      <c r="D46" s="112">
        <v>11000</v>
      </c>
      <c r="E46" s="113">
        <f t="shared" ref="E46:E91" si="74">B46/D46</f>
        <v>0.55490909090909091</v>
      </c>
      <c r="F46" s="114">
        <v>12</v>
      </c>
      <c r="G46" s="115">
        <v>5892</v>
      </c>
      <c r="H46" s="113">
        <f t="shared" si="0"/>
        <v>0.53563636363636369</v>
      </c>
      <c r="I46" s="115">
        <f>D46*67%</f>
        <v>7370</v>
      </c>
      <c r="J46" s="113">
        <f t="shared" si="1"/>
        <v>0.67</v>
      </c>
      <c r="K46" s="115">
        <f t="shared" si="43"/>
        <v>5601.2</v>
      </c>
      <c r="L46" s="241">
        <v>299.54000000000002</v>
      </c>
      <c r="M46" s="119">
        <f t="shared" si="2"/>
        <v>1677783.4480000001</v>
      </c>
      <c r="N46" s="115">
        <f t="shared" si="3"/>
        <v>5896</v>
      </c>
      <c r="O46" s="115">
        <f t="shared" si="44"/>
        <v>3248.6959999999995</v>
      </c>
      <c r="P46" s="115">
        <f t="shared" si="45"/>
        <v>5380.0999999999995</v>
      </c>
      <c r="Q46" s="115">
        <f>D46*75%</f>
        <v>8250</v>
      </c>
      <c r="R46" s="116">
        <f t="shared" si="4"/>
        <v>0.75</v>
      </c>
      <c r="S46" s="115">
        <f t="shared" si="5"/>
        <v>6270</v>
      </c>
      <c r="T46" s="115">
        <f t="shared" si="6"/>
        <v>6600</v>
      </c>
      <c r="U46" s="115">
        <f t="shared" si="46"/>
        <v>3636.6</v>
      </c>
      <c r="V46" s="115">
        <f t="shared" si="7"/>
        <v>6022.5</v>
      </c>
      <c r="W46" s="115">
        <f t="shared" si="8"/>
        <v>392.084</v>
      </c>
      <c r="X46" s="246">
        <v>14</v>
      </c>
      <c r="Y46" s="119">
        <f t="shared" si="9"/>
        <v>5489.1760000000004</v>
      </c>
      <c r="Z46" s="112">
        <v>1316</v>
      </c>
      <c r="AA46" s="112"/>
      <c r="AB46" s="112">
        <v>2500</v>
      </c>
      <c r="AC46" s="113">
        <f t="shared" si="10"/>
        <v>0.52639999999999998</v>
      </c>
      <c r="AD46" s="114">
        <v>2</v>
      </c>
      <c r="AE46" s="115">
        <f>$Z46</f>
        <v>1316</v>
      </c>
      <c r="AF46" s="113">
        <f t="shared" si="11"/>
        <v>0.52639999999999998</v>
      </c>
      <c r="AG46" s="117">
        <f>AE46</f>
        <v>1316</v>
      </c>
      <c r="AH46" s="113">
        <f t="shared" si="12"/>
        <v>0.52639999999999998</v>
      </c>
      <c r="AI46" s="115">
        <f t="shared" si="47"/>
        <v>987</v>
      </c>
      <c r="AJ46" s="250">
        <v>299.14</v>
      </c>
      <c r="AK46" s="119">
        <f t="shared" si="13"/>
        <v>295251.18</v>
      </c>
      <c r="AL46" s="115">
        <f t="shared" si="14"/>
        <v>1065.96</v>
      </c>
      <c r="AM46" s="115">
        <f t="shared" si="15"/>
        <v>651.42000000000007</v>
      </c>
      <c r="AN46" s="115">
        <f t="shared" si="16"/>
        <v>1118.5999999999999</v>
      </c>
      <c r="AO46" s="117">
        <f>AB46*61%</f>
        <v>1525</v>
      </c>
      <c r="AP46" s="113">
        <f t="shared" si="18"/>
        <v>0.61</v>
      </c>
      <c r="AQ46" s="115">
        <f t="shared" si="48"/>
        <v>1143.75</v>
      </c>
      <c r="AR46" s="115">
        <f t="shared" si="49"/>
        <v>1235.25</v>
      </c>
      <c r="AS46" s="115">
        <f t="shared" si="19"/>
        <v>777.75</v>
      </c>
      <c r="AT46" s="115">
        <f t="shared" si="20"/>
        <v>1342</v>
      </c>
      <c r="AU46" s="118">
        <v>1449</v>
      </c>
      <c r="AV46" s="118">
        <v>10600</v>
      </c>
      <c r="AW46" s="113">
        <f t="shared" si="21"/>
        <v>0.13669811320754716</v>
      </c>
      <c r="AX46" s="114">
        <v>4</v>
      </c>
      <c r="AY46" s="115">
        <f>AV46*20%</f>
        <v>2120</v>
      </c>
      <c r="AZ46" s="113">
        <f t="shared" si="22"/>
        <v>0.2</v>
      </c>
      <c r="BA46" s="114">
        <f>AV46*25%</f>
        <v>2650</v>
      </c>
      <c r="BB46" s="113">
        <f t="shared" si="23"/>
        <v>0.25</v>
      </c>
      <c r="BC46" s="115">
        <f t="shared" si="50"/>
        <v>1854.9999999999998</v>
      </c>
      <c r="BD46" s="247">
        <v>272.26</v>
      </c>
      <c r="BE46" s="119">
        <f t="shared" si="24"/>
        <v>505042.29999999993</v>
      </c>
      <c r="BF46" s="115">
        <f t="shared" si="51"/>
        <v>1908</v>
      </c>
      <c r="BG46" s="115">
        <f t="shared" si="25"/>
        <v>1279.9499999999998</v>
      </c>
      <c r="BH46" s="115">
        <f t="shared" si="26"/>
        <v>2199.5</v>
      </c>
      <c r="BI46" s="114">
        <f>AV46*26%</f>
        <v>2756</v>
      </c>
      <c r="BJ46" s="113">
        <f t="shared" si="27"/>
        <v>0.26</v>
      </c>
      <c r="BK46" s="115">
        <f t="shared" si="52"/>
        <v>1956.76</v>
      </c>
      <c r="BL46" s="115">
        <f t="shared" si="53"/>
        <v>1984.32</v>
      </c>
      <c r="BM46" s="115">
        <f t="shared" ref="BM46:BM69" si="75">BK46*69%</f>
        <v>1350.1643999999999</v>
      </c>
      <c r="BN46" s="115">
        <f t="shared" si="29"/>
        <v>2287.48</v>
      </c>
      <c r="BO46" s="114"/>
      <c r="BP46" s="114"/>
      <c r="BQ46" s="114"/>
      <c r="BR46" s="114">
        <v>55</v>
      </c>
      <c r="BS46" s="115">
        <f>4900*0.3%</f>
        <v>14.700000000000001</v>
      </c>
      <c r="BT46" s="115">
        <f>6200*0.7%</f>
        <v>43.4</v>
      </c>
      <c r="BU46" s="114">
        <v>10</v>
      </c>
      <c r="BV46" s="114">
        <v>55</v>
      </c>
      <c r="BW46" s="114">
        <v>55</v>
      </c>
      <c r="BX46" s="115">
        <f t="shared" si="63"/>
        <v>36.300000000000004</v>
      </c>
      <c r="BY46" s="247">
        <v>385.36</v>
      </c>
      <c r="BZ46" s="119">
        <f t="shared" si="30"/>
        <v>13988.568000000003</v>
      </c>
      <c r="CA46" s="115">
        <f t="shared" si="55"/>
        <v>39.6</v>
      </c>
      <c r="CB46" s="115">
        <f t="shared" ref="CB46:CB69" si="76">BX46*69%</f>
        <v>25.047000000000001</v>
      </c>
      <c r="CC46" s="115">
        <f t="shared" si="32"/>
        <v>45.65</v>
      </c>
      <c r="CD46" s="114">
        <f t="shared" si="66"/>
        <v>88</v>
      </c>
      <c r="CE46" s="115">
        <f t="shared" si="56"/>
        <v>58.080000000000005</v>
      </c>
      <c r="CF46" s="115">
        <f t="shared" si="71"/>
        <v>63.36</v>
      </c>
      <c r="CG46" s="115">
        <f t="shared" ref="CG46:CG69" si="77">CE46*69%</f>
        <v>40.075200000000002</v>
      </c>
      <c r="CH46" s="115">
        <f t="shared" si="34"/>
        <v>73.039999999999992</v>
      </c>
      <c r="CI46" s="139">
        <v>0</v>
      </c>
      <c r="CJ46" s="140">
        <v>0</v>
      </c>
      <c r="CK46" s="139">
        <f t="shared" si="64"/>
        <v>0</v>
      </c>
      <c r="CL46" s="139" t="s">
        <v>135</v>
      </c>
      <c r="CM46" s="139">
        <v>1440</v>
      </c>
      <c r="CN46" s="185">
        <f>CN48</f>
        <v>150596</v>
      </c>
      <c r="CO46" s="139">
        <f>SUM(CO47:CO48)</f>
        <v>30</v>
      </c>
      <c r="CP46" s="140">
        <v>2249.79</v>
      </c>
      <c r="CQ46" s="139">
        <f t="shared" si="35"/>
        <v>67493.7</v>
      </c>
      <c r="CR46" s="139">
        <f>CR48</f>
        <v>600</v>
      </c>
      <c r="CS46" s="140">
        <v>445.51</v>
      </c>
      <c r="CT46" s="139">
        <f t="shared" si="54"/>
        <v>267306</v>
      </c>
      <c r="CU46" s="139">
        <f>CU48</f>
        <v>54</v>
      </c>
      <c r="CV46" s="140">
        <v>2249.79</v>
      </c>
      <c r="CW46" s="139">
        <f t="shared" si="36"/>
        <v>121488.66</v>
      </c>
      <c r="CX46" s="139">
        <v>0</v>
      </c>
      <c r="CY46" s="140">
        <v>2249.79</v>
      </c>
      <c r="CZ46" s="139">
        <f t="shared" si="37"/>
        <v>0</v>
      </c>
      <c r="DA46" s="139">
        <v>0</v>
      </c>
      <c r="DB46" s="140">
        <v>464.26</v>
      </c>
      <c r="DC46" s="139">
        <f t="shared" si="38"/>
        <v>0</v>
      </c>
      <c r="DD46" s="139">
        <v>0</v>
      </c>
      <c r="DE46" s="140">
        <v>2249.79</v>
      </c>
      <c r="DF46" s="139">
        <f t="shared" si="39"/>
        <v>0</v>
      </c>
      <c r="DG46" s="139">
        <v>0</v>
      </c>
      <c r="DH46" s="140">
        <v>2249.79</v>
      </c>
      <c r="DI46" s="139">
        <f t="shared" si="40"/>
        <v>0</v>
      </c>
      <c r="DJ46" s="139">
        <v>0</v>
      </c>
      <c r="DK46" s="139">
        <v>504.26</v>
      </c>
      <c r="DL46" s="139">
        <f t="shared" si="41"/>
        <v>0</v>
      </c>
      <c r="DM46" s="139">
        <v>0</v>
      </c>
      <c r="DN46" s="140">
        <v>2249.79</v>
      </c>
      <c r="DO46" s="205">
        <f t="shared" si="42"/>
        <v>0</v>
      </c>
      <c r="DP46" s="197"/>
    </row>
    <row r="47" spans="1:120" s="141" customFormat="1" ht="25.5" x14ac:dyDescent="0.25">
      <c r="A47" s="17" t="s">
        <v>69</v>
      </c>
      <c r="B47" s="9"/>
      <c r="C47" s="19" t="s">
        <v>70</v>
      </c>
      <c r="D47" s="9"/>
      <c r="E47" s="10"/>
      <c r="F47" s="11"/>
      <c r="G47" s="7"/>
      <c r="H47" s="10"/>
      <c r="I47" s="7"/>
      <c r="J47" s="10"/>
      <c r="K47" s="7">
        <v>0</v>
      </c>
      <c r="L47" s="241">
        <v>299.54000000000002</v>
      </c>
      <c r="M47" s="187">
        <v>0</v>
      </c>
      <c r="N47" s="7"/>
      <c r="O47" s="7">
        <v>0</v>
      </c>
      <c r="P47" s="7"/>
      <c r="Q47" s="7"/>
      <c r="R47" s="188"/>
      <c r="S47" s="7"/>
      <c r="T47" s="7"/>
      <c r="U47" s="7"/>
      <c r="V47" s="7"/>
      <c r="W47" s="7">
        <f t="shared" si="8"/>
        <v>0</v>
      </c>
      <c r="X47" s="247">
        <v>14</v>
      </c>
      <c r="Y47" s="187">
        <f t="shared" si="9"/>
        <v>0</v>
      </c>
      <c r="Z47" s="9"/>
      <c r="AA47" s="9"/>
      <c r="AB47" s="9"/>
      <c r="AC47" s="10"/>
      <c r="AD47" s="11"/>
      <c r="AE47" s="7"/>
      <c r="AF47" s="10"/>
      <c r="AG47" s="18"/>
      <c r="AH47" s="10"/>
      <c r="AI47" s="7">
        <v>0</v>
      </c>
      <c r="AJ47" s="250">
        <v>299.14</v>
      </c>
      <c r="AK47" s="187">
        <v>0</v>
      </c>
      <c r="AL47" s="7"/>
      <c r="AM47" s="7">
        <v>0</v>
      </c>
      <c r="AN47" s="7"/>
      <c r="AO47" s="18"/>
      <c r="AP47" s="10"/>
      <c r="AQ47" s="7"/>
      <c r="AR47" s="7"/>
      <c r="AS47" s="7"/>
      <c r="AT47" s="7"/>
      <c r="AU47" s="12"/>
      <c r="AV47" s="12"/>
      <c r="AW47" s="10"/>
      <c r="AX47" s="11"/>
      <c r="AY47" s="7"/>
      <c r="AZ47" s="10"/>
      <c r="BA47" s="11"/>
      <c r="BB47" s="10"/>
      <c r="BC47" s="7">
        <f>BC46</f>
        <v>1854.9999999999998</v>
      </c>
      <c r="BD47" s="247">
        <v>272.26</v>
      </c>
      <c r="BE47" s="187">
        <f>BC47*BD47</f>
        <v>505042.29999999993</v>
      </c>
      <c r="BF47" s="7"/>
      <c r="BG47" s="7">
        <f>BC47*69%</f>
        <v>1279.9499999999998</v>
      </c>
      <c r="BH47" s="7"/>
      <c r="BI47" s="11"/>
      <c r="BJ47" s="10"/>
      <c r="BK47" s="7"/>
      <c r="BL47" s="7"/>
      <c r="BM47" s="7"/>
      <c r="BN47" s="7"/>
      <c r="BO47" s="11"/>
      <c r="BP47" s="11"/>
      <c r="BQ47" s="11"/>
      <c r="BR47" s="11"/>
      <c r="BS47" s="7"/>
      <c r="BT47" s="7"/>
      <c r="BU47" s="11"/>
      <c r="BV47" s="11"/>
      <c r="BW47" s="11"/>
      <c r="BX47" s="7">
        <f>BX46</f>
        <v>36.300000000000004</v>
      </c>
      <c r="BY47" s="247">
        <v>385.36</v>
      </c>
      <c r="BZ47" s="187">
        <f>BX47*BY47</f>
        <v>13988.568000000003</v>
      </c>
      <c r="CA47" s="7"/>
      <c r="CB47" s="7">
        <f>BX47*69%</f>
        <v>25.047000000000001</v>
      </c>
      <c r="CC47" s="7"/>
      <c r="CD47" s="11"/>
      <c r="CE47" s="7"/>
      <c r="CF47" s="7"/>
      <c r="CG47" s="7"/>
      <c r="CH47" s="7"/>
      <c r="CI47" s="13">
        <v>0</v>
      </c>
      <c r="CJ47" s="189">
        <v>0</v>
      </c>
      <c r="CK47" s="13">
        <f t="shared" si="64"/>
        <v>0</v>
      </c>
      <c r="CL47" s="13"/>
      <c r="CM47" s="13">
        <v>1440</v>
      </c>
      <c r="CN47" s="14">
        <v>0</v>
      </c>
      <c r="CO47" s="13">
        <v>0</v>
      </c>
      <c r="CP47" s="189">
        <v>2249.79</v>
      </c>
      <c r="CQ47" s="13">
        <f t="shared" si="35"/>
        <v>0</v>
      </c>
      <c r="CR47" s="13">
        <v>0</v>
      </c>
      <c r="CS47" s="189">
        <v>445.51</v>
      </c>
      <c r="CT47" s="13">
        <f t="shared" si="54"/>
        <v>0</v>
      </c>
      <c r="CU47" s="13">
        <v>0</v>
      </c>
      <c r="CV47" s="189">
        <v>2249.79</v>
      </c>
      <c r="CW47" s="13">
        <f t="shared" si="36"/>
        <v>0</v>
      </c>
      <c r="CX47" s="13">
        <v>0</v>
      </c>
      <c r="CY47" s="189">
        <v>2249.79</v>
      </c>
      <c r="CZ47" s="13">
        <f t="shared" si="37"/>
        <v>0</v>
      </c>
      <c r="DA47" s="13">
        <v>0</v>
      </c>
      <c r="DB47" s="189">
        <v>464.26</v>
      </c>
      <c r="DC47" s="13">
        <f t="shared" si="38"/>
        <v>0</v>
      </c>
      <c r="DD47" s="13">
        <v>0</v>
      </c>
      <c r="DE47" s="189">
        <v>2249.79</v>
      </c>
      <c r="DF47" s="13">
        <f t="shared" si="39"/>
        <v>0</v>
      </c>
      <c r="DG47" s="13">
        <v>0</v>
      </c>
      <c r="DH47" s="189">
        <v>2249.79</v>
      </c>
      <c r="DI47" s="13">
        <f t="shared" si="40"/>
        <v>0</v>
      </c>
      <c r="DJ47" s="13">
        <v>0</v>
      </c>
      <c r="DK47" s="13">
        <v>504.26</v>
      </c>
      <c r="DL47" s="13">
        <f t="shared" si="41"/>
        <v>0</v>
      </c>
      <c r="DM47" s="13">
        <v>0</v>
      </c>
      <c r="DN47" s="189">
        <v>2249.79</v>
      </c>
      <c r="DO47" s="16">
        <f t="shared" si="42"/>
        <v>0</v>
      </c>
      <c r="DP47" s="195"/>
    </row>
    <row r="48" spans="1:120" s="141" customFormat="1" ht="25.5" x14ac:dyDescent="0.25">
      <c r="A48" s="17" t="s">
        <v>69</v>
      </c>
      <c r="B48" s="9"/>
      <c r="C48" s="19" t="s">
        <v>71</v>
      </c>
      <c r="D48" s="9"/>
      <c r="E48" s="10"/>
      <c r="F48" s="11"/>
      <c r="G48" s="7"/>
      <c r="H48" s="10"/>
      <c r="I48" s="7"/>
      <c r="J48" s="10"/>
      <c r="K48" s="7">
        <v>5601</v>
      </c>
      <c r="L48" s="241">
        <v>299.54000000000002</v>
      </c>
      <c r="M48" s="187">
        <f>K48*L48</f>
        <v>1677723.54</v>
      </c>
      <c r="N48" s="7"/>
      <c r="O48" s="7">
        <f>K48*58%</f>
        <v>3248.58</v>
      </c>
      <c r="P48" s="7"/>
      <c r="Q48" s="7"/>
      <c r="R48" s="188"/>
      <c r="S48" s="7"/>
      <c r="T48" s="7"/>
      <c r="U48" s="7"/>
      <c r="V48" s="7"/>
      <c r="W48" s="7">
        <f t="shared" si="8"/>
        <v>392.07000000000005</v>
      </c>
      <c r="X48" s="247">
        <v>14</v>
      </c>
      <c r="Y48" s="187">
        <f t="shared" si="9"/>
        <v>5488.9800000000005</v>
      </c>
      <c r="Z48" s="9"/>
      <c r="AA48" s="9"/>
      <c r="AB48" s="9"/>
      <c r="AC48" s="10"/>
      <c r="AD48" s="11"/>
      <c r="AE48" s="7"/>
      <c r="AF48" s="10"/>
      <c r="AG48" s="18"/>
      <c r="AH48" s="10"/>
      <c r="AI48" s="7">
        <v>987</v>
      </c>
      <c r="AJ48" s="250">
        <v>299.14</v>
      </c>
      <c r="AK48" s="187">
        <f>AI48*AJ48</f>
        <v>295251.18</v>
      </c>
      <c r="AL48" s="7"/>
      <c r="AM48" s="7">
        <f>AI48*66%</f>
        <v>651.42000000000007</v>
      </c>
      <c r="AN48" s="7"/>
      <c r="AO48" s="18"/>
      <c r="AP48" s="10"/>
      <c r="AQ48" s="7"/>
      <c r="AR48" s="7"/>
      <c r="AS48" s="7"/>
      <c r="AT48" s="7"/>
      <c r="AU48" s="12"/>
      <c r="AV48" s="12"/>
      <c r="AW48" s="10"/>
      <c r="AX48" s="11"/>
      <c r="AY48" s="7"/>
      <c r="AZ48" s="10"/>
      <c r="BA48" s="11"/>
      <c r="BB48" s="10"/>
      <c r="BC48" s="7">
        <v>0</v>
      </c>
      <c r="BD48" s="247">
        <v>272.26</v>
      </c>
      <c r="BE48" s="187">
        <v>0</v>
      </c>
      <c r="BF48" s="7"/>
      <c r="BG48" s="7">
        <v>0</v>
      </c>
      <c r="BH48" s="7"/>
      <c r="BI48" s="11"/>
      <c r="BJ48" s="10"/>
      <c r="BK48" s="7"/>
      <c r="BL48" s="7"/>
      <c r="BM48" s="7"/>
      <c r="BN48" s="7"/>
      <c r="BO48" s="11"/>
      <c r="BP48" s="11"/>
      <c r="BQ48" s="11"/>
      <c r="BR48" s="11"/>
      <c r="BS48" s="7"/>
      <c r="BT48" s="7"/>
      <c r="BU48" s="11"/>
      <c r="BV48" s="11"/>
      <c r="BW48" s="11"/>
      <c r="BX48" s="7">
        <v>0</v>
      </c>
      <c r="BY48" s="247">
        <v>0</v>
      </c>
      <c r="BZ48" s="187">
        <v>0</v>
      </c>
      <c r="CA48" s="7"/>
      <c r="CB48" s="7">
        <v>0</v>
      </c>
      <c r="CC48" s="7"/>
      <c r="CD48" s="11"/>
      <c r="CE48" s="7"/>
      <c r="CF48" s="7"/>
      <c r="CG48" s="7"/>
      <c r="CH48" s="7"/>
      <c r="CI48" s="13">
        <v>0</v>
      </c>
      <c r="CJ48" s="189">
        <v>0</v>
      </c>
      <c r="CK48" s="13">
        <f t="shared" si="64"/>
        <v>0</v>
      </c>
      <c r="CL48" s="13"/>
      <c r="CM48" s="13">
        <v>1440</v>
      </c>
      <c r="CN48" s="14">
        <v>150596</v>
      </c>
      <c r="CO48" s="13">
        <v>30</v>
      </c>
      <c r="CP48" s="189">
        <v>2249.79</v>
      </c>
      <c r="CQ48" s="13">
        <f t="shared" si="35"/>
        <v>67493.7</v>
      </c>
      <c r="CR48" s="13">
        <v>600</v>
      </c>
      <c r="CS48" s="189">
        <v>445.51</v>
      </c>
      <c r="CT48" s="13">
        <f t="shared" si="54"/>
        <v>267306</v>
      </c>
      <c r="CU48" s="13">
        <v>54</v>
      </c>
      <c r="CV48" s="189">
        <v>2249.79</v>
      </c>
      <c r="CW48" s="13">
        <f t="shared" si="36"/>
        <v>121488.66</v>
      </c>
      <c r="CX48" s="13">
        <v>0</v>
      </c>
      <c r="CY48" s="189">
        <v>2249.79</v>
      </c>
      <c r="CZ48" s="13">
        <f t="shared" si="37"/>
        <v>0</v>
      </c>
      <c r="DA48" s="13">
        <v>0</v>
      </c>
      <c r="DB48" s="189">
        <v>464.26</v>
      </c>
      <c r="DC48" s="13">
        <f t="shared" si="38"/>
        <v>0</v>
      </c>
      <c r="DD48" s="13">
        <v>0</v>
      </c>
      <c r="DE48" s="189">
        <v>2249.79</v>
      </c>
      <c r="DF48" s="13">
        <f t="shared" si="39"/>
        <v>0</v>
      </c>
      <c r="DG48" s="13">
        <v>0</v>
      </c>
      <c r="DH48" s="189">
        <v>2249.79</v>
      </c>
      <c r="DI48" s="13">
        <f t="shared" si="40"/>
        <v>0</v>
      </c>
      <c r="DJ48" s="13">
        <v>0</v>
      </c>
      <c r="DK48" s="13">
        <v>504.26</v>
      </c>
      <c r="DL48" s="13">
        <f t="shared" si="41"/>
        <v>0</v>
      </c>
      <c r="DM48" s="13">
        <v>0</v>
      </c>
      <c r="DN48" s="189">
        <v>2249.79</v>
      </c>
      <c r="DO48" s="16">
        <f t="shared" si="42"/>
        <v>0</v>
      </c>
      <c r="DP48" s="195"/>
    </row>
    <row r="49" spans="1:120" s="143" customFormat="1" x14ac:dyDescent="0.25">
      <c r="A49" s="218" t="s">
        <v>72</v>
      </c>
      <c r="B49" s="112">
        <v>7876</v>
      </c>
      <c r="C49" s="220"/>
      <c r="D49" s="112">
        <v>11400</v>
      </c>
      <c r="E49" s="113">
        <f t="shared" si="74"/>
        <v>0.69087719298245609</v>
      </c>
      <c r="F49" s="114">
        <v>6</v>
      </c>
      <c r="G49" s="115">
        <f>$B49*$G$98/$B$95</f>
        <v>6334.0713451722086</v>
      </c>
      <c r="H49" s="113">
        <f t="shared" si="0"/>
        <v>0.5556202934361586</v>
      </c>
      <c r="I49" s="115">
        <f>D49*61%</f>
        <v>6954</v>
      </c>
      <c r="J49" s="113">
        <f t="shared" si="1"/>
        <v>0.61</v>
      </c>
      <c r="K49" s="115">
        <f t="shared" si="43"/>
        <v>5285.04</v>
      </c>
      <c r="L49" s="241">
        <v>299.54000000000002</v>
      </c>
      <c r="M49" s="119">
        <f t="shared" si="2"/>
        <v>1583080.8816000002</v>
      </c>
      <c r="N49" s="115">
        <f t="shared" si="3"/>
        <v>5563.2000000000007</v>
      </c>
      <c r="O49" s="115">
        <f t="shared" si="44"/>
        <v>3065.3231999999998</v>
      </c>
      <c r="P49" s="115">
        <f t="shared" si="45"/>
        <v>5076.42</v>
      </c>
      <c r="Q49" s="115">
        <f>D49*70%</f>
        <v>7979.9999999999991</v>
      </c>
      <c r="R49" s="116">
        <f t="shared" si="4"/>
        <v>0.7</v>
      </c>
      <c r="S49" s="115">
        <f t="shared" si="5"/>
        <v>6064.7999999999993</v>
      </c>
      <c r="T49" s="115">
        <f t="shared" si="6"/>
        <v>6384</v>
      </c>
      <c r="U49" s="115">
        <f t="shared" si="46"/>
        <v>3517.5839999999994</v>
      </c>
      <c r="V49" s="115">
        <f t="shared" si="7"/>
        <v>5825.4</v>
      </c>
      <c r="W49" s="115">
        <f t="shared" si="8"/>
        <v>369.95280000000002</v>
      </c>
      <c r="X49" s="246">
        <v>14</v>
      </c>
      <c r="Y49" s="119">
        <f t="shared" si="9"/>
        <v>5179.3392000000003</v>
      </c>
      <c r="Z49" s="112">
        <v>2650</v>
      </c>
      <c r="AA49" s="112"/>
      <c r="AB49" s="112">
        <v>4400</v>
      </c>
      <c r="AC49" s="113">
        <f t="shared" si="10"/>
        <v>0.60227272727272729</v>
      </c>
      <c r="AD49" s="114">
        <v>4</v>
      </c>
      <c r="AE49" s="115">
        <f>$Z49</f>
        <v>2650</v>
      </c>
      <c r="AF49" s="113">
        <f t="shared" si="11"/>
        <v>0.60227272727272729</v>
      </c>
      <c r="AG49" s="117">
        <f>AE49</f>
        <v>2650</v>
      </c>
      <c r="AH49" s="113">
        <f t="shared" si="12"/>
        <v>0.60227272727272729</v>
      </c>
      <c r="AI49" s="115">
        <f t="shared" si="47"/>
        <v>1987.5</v>
      </c>
      <c r="AJ49" s="250">
        <v>299.14</v>
      </c>
      <c r="AK49" s="119">
        <f t="shared" si="13"/>
        <v>594540.75</v>
      </c>
      <c r="AL49" s="115">
        <f t="shared" si="14"/>
        <v>2146.5</v>
      </c>
      <c r="AM49" s="115">
        <f t="shared" si="15"/>
        <v>1311.75</v>
      </c>
      <c r="AN49" s="115">
        <f t="shared" si="16"/>
        <v>2252.5</v>
      </c>
      <c r="AO49" s="114">
        <f>AB49*63%</f>
        <v>2772</v>
      </c>
      <c r="AP49" s="113">
        <f t="shared" si="18"/>
        <v>0.63</v>
      </c>
      <c r="AQ49" s="115">
        <f t="shared" si="48"/>
        <v>2079</v>
      </c>
      <c r="AR49" s="115">
        <f t="shared" si="49"/>
        <v>2245.3200000000002</v>
      </c>
      <c r="AS49" s="115">
        <f t="shared" si="19"/>
        <v>1413.72</v>
      </c>
      <c r="AT49" s="115">
        <f t="shared" si="20"/>
        <v>2439.36</v>
      </c>
      <c r="AU49" s="118">
        <v>1671</v>
      </c>
      <c r="AV49" s="118">
        <v>4500</v>
      </c>
      <c r="AW49" s="113">
        <f t="shared" si="21"/>
        <v>0.37133333333333335</v>
      </c>
      <c r="AX49" s="114">
        <v>2</v>
      </c>
      <c r="AY49" s="115">
        <f>AV49*37%</f>
        <v>1665</v>
      </c>
      <c r="AZ49" s="113">
        <f t="shared" si="22"/>
        <v>0.37</v>
      </c>
      <c r="BA49" s="114">
        <f>AV49*37%</f>
        <v>1665</v>
      </c>
      <c r="BB49" s="113">
        <f t="shared" si="23"/>
        <v>0.37</v>
      </c>
      <c r="BC49" s="115">
        <f t="shared" si="50"/>
        <v>1165.5</v>
      </c>
      <c r="BD49" s="247">
        <v>272.26</v>
      </c>
      <c r="BE49" s="119">
        <f t="shared" si="24"/>
        <v>317319.02999999997</v>
      </c>
      <c r="BF49" s="115">
        <f t="shared" si="51"/>
        <v>1198.8</v>
      </c>
      <c r="BG49" s="115">
        <f t="shared" si="25"/>
        <v>804.19499999999994</v>
      </c>
      <c r="BH49" s="115">
        <f t="shared" si="26"/>
        <v>1381.95</v>
      </c>
      <c r="BI49" s="114">
        <f>AV49*37%</f>
        <v>1665</v>
      </c>
      <c r="BJ49" s="113">
        <f t="shared" si="27"/>
        <v>0.37</v>
      </c>
      <c r="BK49" s="115">
        <f t="shared" si="52"/>
        <v>1182.1499999999999</v>
      </c>
      <c r="BL49" s="115">
        <f t="shared" si="53"/>
        <v>1198.8</v>
      </c>
      <c r="BM49" s="115">
        <f t="shared" si="75"/>
        <v>815.68349999999987</v>
      </c>
      <c r="BN49" s="115">
        <f t="shared" si="29"/>
        <v>1381.95</v>
      </c>
      <c r="BO49" s="114"/>
      <c r="BP49" s="114"/>
      <c r="BQ49" s="114"/>
      <c r="BR49" s="114">
        <v>1</v>
      </c>
      <c r="BS49" s="114">
        <f>2000*1%</f>
        <v>20</v>
      </c>
      <c r="BT49" s="114">
        <f>3000*1.3%</f>
        <v>39</v>
      </c>
      <c r="BU49" s="114">
        <v>25</v>
      </c>
      <c r="BV49" s="114">
        <v>30</v>
      </c>
      <c r="BW49" s="114">
        <v>0</v>
      </c>
      <c r="BX49" s="115">
        <v>0</v>
      </c>
      <c r="BY49" s="246">
        <v>0</v>
      </c>
      <c r="BZ49" s="119">
        <f t="shared" si="30"/>
        <v>0</v>
      </c>
      <c r="CA49" s="115"/>
      <c r="CB49" s="115">
        <v>0</v>
      </c>
      <c r="CC49" s="115"/>
      <c r="CD49" s="114"/>
      <c r="CE49" s="115"/>
      <c r="CF49" s="115"/>
      <c r="CG49" s="115"/>
      <c r="CH49" s="115"/>
      <c r="CI49" s="139">
        <v>0</v>
      </c>
      <c r="CJ49" s="140">
        <v>0</v>
      </c>
      <c r="CK49" s="139">
        <f t="shared" si="64"/>
        <v>0</v>
      </c>
      <c r="CL49" s="139"/>
      <c r="CM49" s="139">
        <v>1440</v>
      </c>
      <c r="CN49" s="185">
        <v>177116</v>
      </c>
      <c r="CO49" s="139">
        <f>SUM(CO50:CO53)</f>
        <v>58</v>
      </c>
      <c r="CP49" s="140">
        <v>2249.79</v>
      </c>
      <c r="CQ49" s="139">
        <f t="shared" si="35"/>
        <v>130487.81999999999</v>
      </c>
      <c r="CR49" s="139">
        <v>0</v>
      </c>
      <c r="CS49" s="140">
        <v>445.51</v>
      </c>
      <c r="CT49" s="139">
        <f t="shared" si="54"/>
        <v>0</v>
      </c>
      <c r="CU49" s="139">
        <v>0</v>
      </c>
      <c r="CV49" s="140">
        <v>2249.79</v>
      </c>
      <c r="CW49" s="139">
        <f t="shared" si="36"/>
        <v>0</v>
      </c>
      <c r="CX49" s="139">
        <v>0</v>
      </c>
      <c r="CY49" s="140">
        <v>2249.79</v>
      </c>
      <c r="CZ49" s="139">
        <f t="shared" si="37"/>
        <v>0</v>
      </c>
      <c r="DA49" s="139">
        <v>0</v>
      </c>
      <c r="DB49" s="140">
        <v>464.26</v>
      </c>
      <c r="DC49" s="139">
        <f t="shared" si="38"/>
        <v>0</v>
      </c>
      <c r="DD49" s="139">
        <v>0</v>
      </c>
      <c r="DE49" s="140">
        <v>2249.79</v>
      </c>
      <c r="DF49" s="139">
        <f t="shared" si="39"/>
        <v>0</v>
      </c>
      <c r="DG49" s="139">
        <v>0</v>
      </c>
      <c r="DH49" s="140">
        <v>2249.79</v>
      </c>
      <c r="DI49" s="139">
        <f t="shared" si="40"/>
        <v>0</v>
      </c>
      <c r="DJ49" s="139">
        <v>0</v>
      </c>
      <c r="DK49" s="139">
        <v>504.26</v>
      </c>
      <c r="DL49" s="139">
        <f t="shared" si="41"/>
        <v>0</v>
      </c>
      <c r="DM49" s="139">
        <v>0</v>
      </c>
      <c r="DN49" s="140">
        <v>2249.79</v>
      </c>
      <c r="DO49" s="205">
        <f t="shared" si="42"/>
        <v>0</v>
      </c>
      <c r="DP49" s="197"/>
    </row>
    <row r="50" spans="1:120" ht="25.5" x14ac:dyDescent="0.25">
      <c r="A50" s="17" t="s">
        <v>72</v>
      </c>
      <c r="B50" s="9"/>
      <c r="C50" s="19" t="s">
        <v>73</v>
      </c>
      <c r="D50" s="9"/>
      <c r="E50" s="10"/>
      <c r="F50" s="11"/>
      <c r="G50" s="7"/>
      <c r="H50" s="10"/>
      <c r="I50" s="7"/>
      <c r="J50" s="10"/>
      <c r="K50" s="7">
        <v>0</v>
      </c>
      <c r="L50" s="241">
        <v>299.54000000000002</v>
      </c>
      <c r="M50" s="187">
        <v>0</v>
      </c>
      <c r="N50" s="7"/>
      <c r="O50" s="7">
        <v>0</v>
      </c>
      <c r="P50" s="7"/>
      <c r="Q50" s="7"/>
      <c r="R50" s="188"/>
      <c r="S50" s="7"/>
      <c r="T50" s="7"/>
      <c r="U50" s="7"/>
      <c r="V50" s="7"/>
      <c r="W50" s="7">
        <f t="shared" si="8"/>
        <v>0</v>
      </c>
      <c r="X50" s="247">
        <v>14</v>
      </c>
      <c r="Y50" s="187">
        <f t="shared" si="9"/>
        <v>0</v>
      </c>
      <c r="Z50" s="9"/>
      <c r="AA50" s="9"/>
      <c r="AB50" s="9"/>
      <c r="AC50" s="10"/>
      <c r="AD50" s="11"/>
      <c r="AE50" s="7"/>
      <c r="AF50" s="10"/>
      <c r="AG50" s="18"/>
      <c r="AH50" s="10"/>
      <c r="AI50" s="7">
        <v>0</v>
      </c>
      <c r="AJ50" s="250">
        <v>299.14</v>
      </c>
      <c r="AK50" s="187">
        <v>0</v>
      </c>
      <c r="AL50" s="7"/>
      <c r="AM50" s="7">
        <v>0</v>
      </c>
      <c r="AN50" s="7"/>
      <c r="AO50" s="11"/>
      <c r="AP50" s="10"/>
      <c r="AQ50" s="7"/>
      <c r="AR50" s="7"/>
      <c r="AS50" s="7"/>
      <c r="AT50" s="7"/>
      <c r="AU50" s="12"/>
      <c r="AV50" s="12"/>
      <c r="AW50" s="10"/>
      <c r="AX50" s="11"/>
      <c r="AY50" s="7"/>
      <c r="AZ50" s="10"/>
      <c r="BA50" s="11"/>
      <c r="BB50" s="10"/>
      <c r="BC50" s="7">
        <f>BC49</f>
        <v>1165.5</v>
      </c>
      <c r="BD50" s="247">
        <v>272.26</v>
      </c>
      <c r="BE50" s="187">
        <f>BC50*BD50</f>
        <v>317319.02999999997</v>
      </c>
      <c r="BF50" s="7"/>
      <c r="BG50" s="7">
        <f>BG49</f>
        <v>804.19499999999994</v>
      </c>
      <c r="BH50" s="7"/>
      <c r="BI50" s="11"/>
      <c r="BJ50" s="10"/>
      <c r="BK50" s="7"/>
      <c r="BL50" s="7"/>
      <c r="BM50" s="7"/>
      <c r="BN50" s="7"/>
      <c r="BO50" s="11"/>
      <c r="BP50" s="11"/>
      <c r="BQ50" s="11"/>
      <c r="BR50" s="11"/>
      <c r="BS50" s="11"/>
      <c r="BT50" s="11"/>
      <c r="BU50" s="11"/>
      <c r="BV50" s="11"/>
      <c r="BW50" s="11"/>
      <c r="BX50" s="7">
        <v>0</v>
      </c>
      <c r="BY50" s="247">
        <v>0</v>
      </c>
      <c r="BZ50" s="187">
        <v>0</v>
      </c>
      <c r="CA50" s="7"/>
      <c r="CB50" s="7">
        <v>0</v>
      </c>
      <c r="CC50" s="7"/>
      <c r="CD50" s="11"/>
      <c r="CE50" s="7"/>
      <c r="CF50" s="7"/>
      <c r="CG50" s="7"/>
      <c r="CH50" s="7"/>
      <c r="CI50" s="13">
        <v>0</v>
      </c>
      <c r="CJ50" s="189">
        <v>0</v>
      </c>
      <c r="CK50" s="13">
        <f t="shared" si="64"/>
        <v>0</v>
      </c>
      <c r="CL50" s="13"/>
      <c r="CM50" s="13">
        <v>1440</v>
      </c>
      <c r="CN50" s="14">
        <v>0</v>
      </c>
      <c r="CO50" s="13">
        <v>0</v>
      </c>
      <c r="CP50" s="189">
        <v>2249.79</v>
      </c>
      <c r="CQ50" s="13">
        <f t="shared" si="35"/>
        <v>0</v>
      </c>
      <c r="CR50" s="13">
        <v>0</v>
      </c>
      <c r="CS50" s="189">
        <v>445.51</v>
      </c>
      <c r="CT50" s="13">
        <f t="shared" si="54"/>
        <v>0</v>
      </c>
      <c r="CU50" s="13">
        <v>0</v>
      </c>
      <c r="CV50" s="189">
        <v>2249.79</v>
      </c>
      <c r="CW50" s="13">
        <f t="shared" si="36"/>
        <v>0</v>
      </c>
      <c r="CX50" s="13">
        <v>0</v>
      </c>
      <c r="CY50" s="189">
        <v>2249.79</v>
      </c>
      <c r="CZ50" s="13">
        <f t="shared" si="37"/>
        <v>0</v>
      </c>
      <c r="DA50" s="13">
        <v>0</v>
      </c>
      <c r="DB50" s="189">
        <v>464.26</v>
      </c>
      <c r="DC50" s="13">
        <f t="shared" si="38"/>
        <v>0</v>
      </c>
      <c r="DD50" s="13">
        <v>0</v>
      </c>
      <c r="DE50" s="189">
        <v>2249.79</v>
      </c>
      <c r="DF50" s="13">
        <f t="shared" si="39"/>
        <v>0</v>
      </c>
      <c r="DG50" s="13">
        <v>0</v>
      </c>
      <c r="DH50" s="189">
        <v>2249.79</v>
      </c>
      <c r="DI50" s="13">
        <f t="shared" si="40"/>
        <v>0</v>
      </c>
      <c r="DJ50" s="13">
        <v>0</v>
      </c>
      <c r="DK50" s="13">
        <v>504.26</v>
      </c>
      <c r="DL50" s="13">
        <f t="shared" si="41"/>
        <v>0</v>
      </c>
      <c r="DM50" s="13">
        <v>0</v>
      </c>
      <c r="DN50" s="189">
        <v>2249.79</v>
      </c>
      <c r="DO50" s="16">
        <f t="shared" si="42"/>
        <v>0</v>
      </c>
      <c r="DP50" s="196"/>
    </row>
    <row r="51" spans="1:120" ht="25.5" x14ac:dyDescent="0.25">
      <c r="A51" s="17" t="s">
        <v>72</v>
      </c>
      <c r="B51" s="9"/>
      <c r="C51" s="19" t="s">
        <v>74</v>
      </c>
      <c r="D51" s="9"/>
      <c r="E51" s="10"/>
      <c r="F51" s="11"/>
      <c r="G51" s="7"/>
      <c r="H51" s="10"/>
      <c r="I51" s="7"/>
      <c r="J51" s="10"/>
      <c r="K51" s="7">
        <f>(K49*0.41)-513</f>
        <v>1653.8663999999999</v>
      </c>
      <c r="L51" s="241">
        <v>299.54000000000002</v>
      </c>
      <c r="M51" s="187">
        <f>K51*L51</f>
        <v>495399.14145599998</v>
      </c>
      <c r="N51" s="7"/>
      <c r="O51" s="7">
        <f>K51*0.58</f>
        <v>959.24251199999992</v>
      </c>
      <c r="P51" s="7"/>
      <c r="Q51" s="7"/>
      <c r="R51" s="188"/>
      <c r="S51" s="7"/>
      <c r="T51" s="7"/>
      <c r="U51" s="7"/>
      <c r="V51" s="7"/>
      <c r="W51" s="7">
        <f>K51*7%</f>
        <v>115.77064800000001</v>
      </c>
      <c r="X51" s="247">
        <v>14</v>
      </c>
      <c r="Y51" s="187">
        <f t="shared" si="9"/>
        <v>1620.789072</v>
      </c>
      <c r="Z51" s="9"/>
      <c r="AA51" s="9"/>
      <c r="AB51" s="9"/>
      <c r="AC51" s="10"/>
      <c r="AD51" s="11"/>
      <c r="AE51" s="7"/>
      <c r="AF51" s="10"/>
      <c r="AG51" s="18"/>
      <c r="AH51" s="10"/>
      <c r="AI51" s="7">
        <v>0</v>
      </c>
      <c r="AJ51" s="250">
        <v>299.14</v>
      </c>
      <c r="AK51" s="187">
        <v>0</v>
      </c>
      <c r="AL51" s="7"/>
      <c r="AM51" s="7">
        <v>0</v>
      </c>
      <c r="AN51" s="7"/>
      <c r="AO51" s="11"/>
      <c r="AP51" s="10"/>
      <c r="AQ51" s="7"/>
      <c r="AR51" s="7"/>
      <c r="AS51" s="7"/>
      <c r="AT51" s="7"/>
      <c r="AU51" s="12"/>
      <c r="AV51" s="12"/>
      <c r="AW51" s="10"/>
      <c r="AX51" s="11"/>
      <c r="AY51" s="7"/>
      <c r="AZ51" s="10"/>
      <c r="BA51" s="11"/>
      <c r="BB51" s="10"/>
      <c r="BC51" s="7">
        <v>0</v>
      </c>
      <c r="BD51" s="247">
        <v>272.26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7">
        <v>0</v>
      </c>
      <c r="BK51" s="7">
        <v>0</v>
      </c>
      <c r="BL51" s="7">
        <v>0</v>
      </c>
      <c r="BM51" s="7">
        <v>0</v>
      </c>
      <c r="BN51" s="7">
        <v>0</v>
      </c>
      <c r="BO51" s="7">
        <v>0</v>
      </c>
      <c r="BP51" s="7">
        <v>0</v>
      </c>
      <c r="BQ51" s="7">
        <v>0</v>
      </c>
      <c r="BR51" s="7">
        <v>0</v>
      </c>
      <c r="BS51" s="7">
        <v>0</v>
      </c>
      <c r="BT51" s="7">
        <v>0</v>
      </c>
      <c r="BU51" s="7">
        <v>0</v>
      </c>
      <c r="BV51" s="7">
        <v>0</v>
      </c>
      <c r="BW51" s="7">
        <v>0</v>
      </c>
      <c r="BX51" s="7">
        <v>0</v>
      </c>
      <c r="BY51" s="247">
        <v>0</v>
      </c>
      <c r="BZ51" s="187">
        <v>0</v>
      </c>
      <c r="CA51" s="7"/>
      <c r="CB51" s="7">
        <v>0</v>
      </c>
      <c r="CC51" s="7"/>
      <c r="CD51" s="11"/>
      <c r="CE51" s="7"/>
      <c r="CF51" s="7"/>
      <c r="CG51" s="7"/>
      <c r="CH51" s="7"/>
      <c r="CI51" s="13">
        <v>0</v>
      </c>
      <c r="CJ51" s="189">
        <v>0</v>
      </c>
      <c r="CK51" s="13">
        <f t="shared" si="64"/>
        <v>0</v>
      </c>
      <c r="CL51" s="13"/>
      <c r="CM51" s="13">
        <v>1440</v>
      </c>
      <c r="CN51" s="14">
        <v>0</v>
      </c>
      <c r="CO51" s="13">
        <v>19</v>
      </c>
      <c r="CP51" s="189">
        <v>2249.79</v>
      </c>
      <c r="CQ51" s="13">
        <f t="shared" si="35"/>
        <v>42746.01</v>
      </c>
      <c r="CR51" s="13">
        <v>0</v>
      </c>
      <c r="CS51" s="189">
        <v>445.51</v>
      </c>
      <c r="CT51" s="13">
        <f t="shared" si="54"/>
        <v>0</v>
      </c>
      <c r="CU51" s="13">
        <v>0</v>
      </c>
      <c r="CV51" s="189">
        <v>2249.79</v>
      </c>
      <c r="CW51" s="13">
        <f t="shared" si="36"/>
        <v>0</v>
      </c>
      <c r="CX51" s="13">
        <v>0</v>
      </c>
      <c r="CY51" s="189">
        <v>2249.79</v>
      </c>
      <c r="CZ51" s="13">
        <f t="shared" si="37"/>
        <v>0</v>
      </c>
      <c r="DA51" s="13">
        <v>0</v>
      </c>
      <c r="DB51" s="189">
        <v>464.26</v>
      </c>
      <c r="DC51" s="13">
        <f t="shared" si="38"/>
        <v>0</v>
      </c>
      <c r="DD51" s="13">
        <v>0</v>
      </c>
      <c r="DE51" s="189">
        <v>2249.79</v>
      </c>
      <c r="DF51" s="13">
        <f t="shared" si="39"/>
        <v>0</v>
      </c>
      <c r="DG51" s="13">
        <v>0</v>
      </c>
      <c r="DH51" s="189">
        <v>2249.79</v>
      </c>
      <c r="DI51" s="13">
        <f t="shared" si="40"/>
        <v>0</v>
      </c>
      <c r="DJ51" s="13">
        <v>0</v>
      </c>
      <c r="DK51" s="13">
        <v>504.26</v>
      </c>
      <c r="DL51" s="13">
        <f t="shared" si="41"/>
        <v>0</v>
      </c>
      <c r="DM51" s="13">
        <v>0</v>
      </c>
      <c r="DN51" s="189">
        <v>2249.79</v>
      </c>
      <c r="DO51" s="16">
        <f t="shared" si="42"/>
        <v>0</v>
      </c>
      <c r="DP51" s="196"/>
    </row>
    <row r="52" spans="1:120" ht="38.25" x14ac:dyDescent="0.25">
      <c r="A52" s="17" t="s">
        <v>72</v>
      </c>
      <c r="B52" s="9"/>
      <c r="C52" s="19" t="s">
        <v>75</v>
      </c>
      <c r="D52" s="9"/>
      <c r="E52" s="10"/>
      <c r="F52" s="11"/>
      <c r="G52" s="7"/>
      <c r="H52" s="10"/>
      <c r="I52" s="7"/>
      <c r="J52" s="10"/>
      <c r="K52" s="7">
        <f>K49*0.46</f>
        <v>2431.1184000000003</v>
      </c>
      <c r="L52" s="241">
        <v>299.54000000000002</v>
      </c>
      <c r="M52" s="187">
        <f>K52*L52</f>
        <v>728217.20553600008</v>
      </c>
      <c r="N52" s="7"/>
      <c r="O52" s="7">
        <f>K52*0.58</f>
        <v>1410.0486720000001</v>
      </c>
      <c r="P52" s="7"/>
      <c r="Q52" s="7"/>
      <c r="R52" s="188"/>
      <c r="S52" s="7"/>
      <c r="T52" s="7"/>
      <c r="U52" s="7"/>
      <c r="V52" s="7"/>
      <c r="W52" s="7">
        <f>K52*7%</f>
        <v>170.17828800000004</v>
      </c>
      <c r="X52" s="247">
        <v>14</v>
      </c>
      <c r="Y52" s="187">
        <f t="shared" si="9"/>
        <v>2382.4960320000005</v>
      </c>
      <c r="Z52" s="9"/>
      <c r="AA52" s="9"/>
      <c r="AB52" s="9"/>
      <c r="AC52" s="10"/>
      <c r="AD52" s="11"/>
      <c r="AE52" s="7"/>
      <c r="AF52" s="10"/>
      <c r="AG52" s="18"/>
      <c r="AH52" s="10"/>
      <c r="AI52" s="7">
        <f>AI49*0.9</f>
        <v>1788.75</v>
      </c>
      <c r="AJ52" s="250">
        <v>299.14</v>
      </c>
      <c r="AK52" s="187">
        <f>AI52*AJ52</f>
        <v>535086.67499999993</v>
      </c>
      <c r="AL52" s="7"/>
      <c r="AM52" s="7">
        <f>AI52*0.66</f>
        <v>1180.575</v>
      </c>
      <c r="AN52" s="7"/>
      <c r="AO52" s="11"/>
      <c r="AP52" s="10"/>
      <c r="AQ52" s="7"/>
      <c r="AR52" s="7"/>
      <c r="AS52" s="7"/>
      <c r="AT52" s="7"/>
      <c r="AU52" s="12"/>
      <c r="AV52" s="12"/>
      <c r="AW52" s="10"/>
      <c r="AX52" s="11"/>
      <c r="AY52" s="7"/>
      <c r="AZ52" s="10"/>
      <c r="BA52" s="11"/>
      <c r="BB52" s="10"/>
      <c r="BC52" s="7">
        <v>0</v>
      </c>
      <c r="BD52" s="247">
        <v>272.26</v>
      </c>
      <c r="BE52" s="7">
        <v>0</v>
      </c>
      <c r="BF52" s="7">
        <v>0</v>
      </c>
      <c r="BG52" s="7">
        <v>0</v>
      </c>
      <c r="BH52" s="7">
        <v>0</v>
      </c>
      <c r="BI52" s="7">
        <v>0</v>
      </c>
      <c r="BJ52" s="7">
        <v>0</v>
      </c>
      <c r="BK52" s="7">
        <v>0</v>
      </c>
      <c r="BL52" s="7">
        <v>0</v>
      </c>
      <c r="BM52" s="7">
        <v>0</v>
      </c>
      <c r="BN52" s="7">
        <v>0</v>
      </c>
      <c r="BO52" s="7">
        <v>0</v>
      </c>
      <c r="BP52" s="7">
        <v>0</v>
      </c>
      <c r="BQ52" s="7">
        <v>0</v>
      </c>
      <c r="BR52" s="7">
        <v>0</v>
      </c>
      <c r="BS52" s="7">
        <v>0</v>
      </c>
      <c r="BT52" s="7">
        <v>0</v>
      </c>
      <c r="BU52" s="7">
        <v>0</v>
      </c>
      <c r="BV52" s="7">
        <v>0</v>
      </c>
      <c r="BW52" s="7">
        <v>0</v>
      </c>
      <c r="BX52" s="7">
        <v>0</v>
      </c>
      <c r="BY52" s="247">
        <v>0</v>
      </c>
      <c r="BZ52" s="187">
        <v>0</v>
      </c>
      <c r="CA52" s="7"/>
      <c r="CB52" s="7">
        <v>0</v>
      </c>
      <c r="CC52" s="7"/>
      <c r="CD52" s="11"/>
      <c r="CE52" s="7"/>
      <c r="CF52" s="7"/>
      <c r="CG52" s="7"/>
      <c r="CH52" s="7"/>
      <c r="CI52" s="13">
        <v>0</v>
      </c>
      <c r="CJ52" s="189">
        <v>0</v>
      </c>
      <c r="CK52" s="13">
        <f t="shared" si="64"/>
        <v>0</v>
      </c>
      <c r="CL52" s="13" t="s">
        <v>135</v>
      </c>
      <c r="CM52" s="13">
        <v>1440</v>
      </c>
      <c r="CN52" s="14">
        <v>177116</v>
      </c>
      <c r="CO52" s="13">
        <v>39</v>
      </c>
      <c r="CP52" s="189">
        <v>2249.79</v>
      </c>
      <c r="CQ52" s="13">
        <f t="shared" si="35"/>
        <v>87741.81</v>
      </c>
      <c r="CR52" s="13">
        <v>0</v>
      </c>
      <c r="CS52" s="189">
        <v>445.51</v>
      </c>
      <c r="CT52" s="13">
        <f t="shared" si="54"/>
        <v>0</v>
      </c>
      <c r="CU52" s="13">
        <v>0</v>
      </c>
      <c r="CV52" s="189">
        <v>2249.79</v>
      </c>
      <c r="CW52" s="13">
        <f t="shared" si="36"/>
        <v>0</v>
      </c>
      <c r="CX52" s="13">
        <v>0</v>
      </c>
      <c r="CY52" s="189">
        <v>2249.79</v>
      </c>
      <c r="CZ52" s="13">
        <f t="shared" si="37"/>
        <v>0</v>
      </c>
      <c r="DA52" s="13">
        <v>0</v>
      </c>
      <c r="DB52" s="189">
        <v>464.26</v>
      </c>
      <c r="DC52" s="13">
        <f t="shared" si="38"/>
        <v>0</v>
      </c>
      <c r="DD52" s="13">
        <v>0</v>
      </c>
      <c r="DE52" s="189">
        <v>2249.79</v>
      </c>
      <c r="DF52" s="13">
        <f t="shared" si="39"/>
        <v>0</v>
      </c>
      <c r="DG52" s="13">
        <v>0</v>
      </c>
      <c r="DH52" s="189">
        <v>2249.79</v>
      </c>
      <c r="DI52" s="13">
        <f t="shared" si="40"/>
        <v>0</v>
      </c>
      <c r="DJ52" s="13">
        <v>0</v>
      </c>
      <c r="DK52" s="13">
        <v>504.26</v>
      </c>
      <c r="DL52" s="13">
        <f t="shared" si="41"/>
        <v>0</v>
      </c>
      <c r="DM52" s="13">
        <v>0</v>
      </c>
      <c r="DN52" s="189">
        <v>2249.79</v>
      </c>
      <c r="DO52" s="16">
        <f t="shared" si="42"/>
        <v>0</v>
      </c>
      <c r="DP52" s="196"/>
    </row>
    <row r="53" spans="1:120" ht="38.25" x14ac:dyDescent="0.25">
      <c r="A53" s="17" t="s">
        <v>72</v>
      </c>
      <c r="B53" s="9"/>
      <c r="C53" s="19" t="s">
        <v>76</v>
      </c>
      <c r="D53" s="9"/>
      <c r="E53" s="10"/>
      <c r="F53" s="11"/>
      <c r="G53" s="7"/>
      <c r="H53" s="10"/>
      <c r="I53" s="7"/>
      <c r="J53" s="10"/>
      <c r="K53" s="7">
        <f>(K49*0.13)+513</f>
        <v>1200.0552</v>
      </c>
      <c r="L53" s="241">
        <v>299.54000000000002</v>
      </c>
      <c r="M53" s="187">
        <f>K53*L53</f>
        <v>359464.53460800002</v>
      </c>
      <c r="N53" s="7"/>
      <c r="O53" s="7">
        <f>K53*0.58</f>
        <v>696.032016</v>
      </c>
      <c r="P53" s="7"/>
      <c r="Q53" s="7"/>
      <c r="R53" s="188"/>
      <c r="S53" s="7"/>
      <c r="T53" s="7"/>
      <c r="U53" s="7"/>
      <c r="V53" s="7"/>
      <c r="W53" s="7">
        <f>K53*7%</f>
        <v>84.003864000000007</v>
      </c>
      <c r="X53" s="247">
        <v>14</v>
      </c>
      <c r="Y53" s="187">
        <f t="shared" si="9"/>
        <v>1176.0540960000001</v>
      </c>
      <c r="Z53" s="9"/>
      <c r="AA53" s="9"/>
      <c r="AB53" s="9"/>
      <c r="AC53" s="10"/>
      <c r="AD53" s="11"/>
      <c r="AE53" s="7"/>
      <c r="AF53" s="10"/>
      <c r="AG53" s="18"/>
      <c r="AH53" s="10"/>
      <c r="AI53" s="7">
        <f>AI49*0.1</f>
        <v>198.75</v>
      </c>
      <c r="AJ53" s="250">
        <v>299.14</v>
      </c>
      <c r="AK53" s="187">
        <f>AI53*AJ53</f>
        <v>59454.074999999997</v>
      </c>
      <c r="AL53" s="7"/>
      <c r="AM53" s="7">
        <f>AI53*0.66</f>
        <v>131.17500000000001</v>
      </c>
      <c r="AN53" s="7"/>
      <c r="AO53" s="11"/>
      <c r="AP53" s="10"/>
      <c r="AQ53" s="7"/>
      <c r="AR53" s="7"/>
      <c r="AS53" s="7"/>
      <c r="AT53" s="7"/>
      <c r="AU53" s="12"/>
      <c r="AV53" s="12"/>
      <c r="AW53" s="10"/>
      <c r="AX53" s="11"/>
      <c r="AY53" s="7"/>
      <c r="AZ53" s="10"/>
      <c r="BA53" s="11"/>
      <c r="BB53" s="10"/>
      <c r="BC53" s="7">
        <v>0</v>
      </c>
      <c r="BD53" s="247">
        <v>272.26</v>
      </c>
      <c r="BE53" s="7">
        <v>0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7">
        <v>0</v>
      </c>
      <c r="BQ53" s="7">
        <v>0</v>
      </c>
      <c r="BR53" s="7">
        <v>0</v>
      </c>
      <c r="BS53" s="7">
        <v>0</v>
      </c>
      <c r="BT53" s="7">
        <v>0</v>
      </c>
      <c r="BU53" s="7">
        <v>0</v>
      </c>
      <c r="BV53" s="7">
        <v>0</v>
      </c>
      <c r="BW53" s="7">
        <v>0</v>
      </c>
      <c r="BX53" s="7">
        <v>0</v>
      </c>
      <c r="BY53" s="247">
        <v>0</v>
      </c>
      <c r="BZ53" s="187">
        <v>0</v>
      </c>
      <c r="CA53" s="7"/>
      <c r="CB53" s="7">
        <v>0</v>
      </c>
      <c r="CC53" s="7"/>
      <c r="CD53" s="11"/>
      <c r="CE53" s="7"/>
      <c r="CF53" s="7"/>
      <c r="CG53" s="7"/>
      <c r="CH53" s="7"/>
      <c r="CI53" s="13">
        <v>0</v>
      </c>
      <c r="CJ53" s="189">
        <v>0</v>
      </c>
      <c r="CK53" s="13">
        <f t="shared" si="64"/>
        <v>0</v>
      </c>
      <c r="CL53" s="13"/>
      <c r="CM53" s="13">
        <v>1440</v>
      </c>
      <c r="CN53" s="14">
        <v>0</v>
      </c>
      <c r="CO53" s="13">
        <v>0</v>
      </c>
      <c r="CP53" s="189">
        <v>2249.79</v>
      </c>
      <c r="CQ53" s="13">
        <f t="shared" si="35"/>
        <v>0</v>
      </c>
      <c r="CR53" s="13">
        <v>0</v>
      </c>
      <c r="CS53" s="189">
        <v>445.51</v>
      </c>
      <c r="CT53" s="13">
        <f t="shared" si="54"/>
        <v>0</v>
      </c>
      <c r="CU53" s="13">
        <v>0</v>
      </c>
      <c r="CV53" s="189">
        <v>2249.79</v>
      </c>
      <c r="CW53" s="13">
        <f t="shared" si="36"/>
        <v>0</v>
      </c>
      <c r="CX53" s="13">
        <v>0</v>
      </c>
      <c r="CY53" s="189">
        <v>2249.79</v>
      </c>
      <c r="CZ53" s="13">
        <f t="shared" si="37"/>
        <v>0</v>
      </c>
      <c r="DA53" s="13">
        <v>0</v>
      </c>
      <c r="DB53" s="189">
        <v>464.26</v>
      </c>
      <c r="DC53" s="13">
        <f t="shared" si="38"/>
        <v>0</v>
      </c>
      <c r="DD53" s="13">
        <v>0</v>
      </c>
      <c r="DE53" s="189">
        <v>2249.79</v>
      </c>
      <c r="DF53" s="13">
        <f t="shared" si="39"/>
        <v>0</v>
      </c>
      <c r="DG53" s="13">
        <v>0</v>
      </c>
      <c r="DH53" s="189">
        <v>2249.79</v>
      </c>
      <c r="DI53" s="13">
        <f t="shared" si="40"/>
        <v>0</v>
      </c>
      <c r="DJ53" s="13">
        <v>0</v>
      </c>
      <c r="DK53" s="13">
        <v>504.26</v>
      </c>
      <c r="DL53" s="13">
        <f t="shared" si="41"/>
        <v>0</v>
      </c>
      <c r="DM53" s="13">
        <v>0</v>
      </c>
      <c r="DN53" s="189">
        <v>2249.79</v>
      </c>
      <c r="DO53" s="16">
        <f t="shared" si="42"/>
        <v>0</v>
      </c>
      <c r="DP53" s="196"/>
    </row>
    <row r="54" spans="1:120" s="143" customFormat="1" ht="25.5" x14ac:dyDescent="0.25">
      <c r="A54" s="218" t="s">
        <v>77</v>
      </c>
      <c r="B54" s="112">
        <v>26441</v>
      </c>
      <c r="C54" s="220"/>
      <c r="D54" s="112">
        <v>38300</v>
      </c>
      <c r="E54" s="113">
        <f t="shared" si="74"/>
        <v>0.69036553524804178</v>
      </c>
      <c r="F54" s="114">
        <v>15</v>
      </c>
      <c r="G54" s="115">
        <f>$B54*$G$98/$B$95</f>
        <v>21264.4972622776</v>
      </c>
      <c r="H54" s="113">
        <f t="shared" si="0"/>
        <v>0.55520880580359266</v>
      </c>
      <c r="I54" s="115">
        <f>D54*61%</f>
        <v>23363</v>
      </c>
      <c r="J54" s="113">
        <f t="shared" si="1"/>
        <v>0.61</v>
      </c>
      <c r="K54" s="115">
        <f t="shared" si="43"/>
        <v>17755.88</v>
      </c>
      <c r="L54" s="241">
        <v>299.54000000000002</v>
      </c>
      <c r="M54" s="119">
        <f t="shared" si="2"/>
        <v>5318596.2952000005</v>
      </c>
      <c r="N54" s="115">
        <f t="shared" si="3"/>
        <v>18690.400000000001</v>
      </c>
      <c r="O54" s="115">
        <f t="shared" si="44"/>
        <v>10298.410400000001</v>
      </c>
      <c r="P54" s="115">
        <f t="shared" si="45"/>
        <v>17054.989999999998</v>
      </c>
      <c r="Q54" s="115">
        <v>26923</v>
      </c>
      <c r="R54" s="116">
        <f t="shared" si="4"/>
        <v>0.70295039164490858</v>
      </c>
      <c r="S54" s="115">
        <f t="shared" si="5"/>
        <v>20461.48</v>
      </c>
      <c r="T54" s="115">
        <f t="shared" si="6"/>
        <v>21538.400000000001</v>
      </c>
      <c r="U54" s="115">
        <f t="shared" si="46"/>
        <v>11867.658399999998</v>
      </c>
      <c r="V54" s="115">
        <f t="shared" si="7"/>
        <v>19653.79</v>
      </c>
      <c r="W54" s="115">
        <f t="shared" si="8"/>
        <v>1242.9116000000001</v>
      </c>
      <c r="X54" s="246">
        <v>14</v>
      </c>
      <c r="Y54" s="119">
        <f t="shared" si="9"/>
        <v>17400.762400000003</v>
      </c>
      <c r="Z54" s="112">
        <v>4429</v>
      </c>
      <c r="AA54" s="112"/>
      <c r="AB54" s="112">
        <v>7700</v>
      </c>
      <c r="AC54" s="113">
        <f t="shared" si="10"/>
        <v>0.57519480519480515</v>
      </c>
      <c r="AD54" s="114">
        <v>15</v>
      </c>
      <c r="AE54" s="115">
        <f>$Z54</f>
        <v>4429</v>
      </c>
      <c r="AF54" s="113">
        <f t="shared" si="11"/>
        <v>0.57519480519480515</v>
      </c>
      <c r="AG54" s="117">
        <f>AB54*60%</f>
        <v>4620</v>
      </c>
      <c r="AH54" s="113">
        <f t="shared" si="12"/>
        <v>0.6</v>
      </c>
      <c r="AI54" s="115">
        <f t="shared" si="47"/>
        <v>3465</v>
      </c>
      <c r="AJ54" s="250">
        <v>299.14</v>
      </c>
      <c r="AK54" s="119">
        <f t="shared" si="13"/>
        <v>1036520.1</v>
      </c>
      <c r="AL54" s="115">
        <f t="shared" si="14"/>
        <v>3742.2000000000003</v>
      </c>
      <c r="AM54" s="115">
        <f t="shared" si="15"/>
        <v>2286.9</v>
      </c>
      <c r="AN54" s="115">
        <f t="shared" si="16"/>
        <v>3927</v>
      </c>
      <c r="AO54" s="117">
        <f>AB54*65%</f>
        <v>5005</v>
      </c>
      <c r="AP54" s="113">
        <f t="shared" si="18"/>
        <v>0.65</v>
      </c>
      <c r="AQ54" s="115">
        <f t="shared" si="48"/>
        <v>3753.75</v>
      </c>
      <c r="AR54" s="115">
        <f t="shared" si="49"/>
        <v>4054.05</v>
      </c>
      <c r="AS54" s="115">
        <f t="shared" si="19"/>
        <v>2552.5500000000002</v>
      </c>
      <c r="AT54" s="115">
        <f t="shared" si="20"/>
        <v>4404.3999999999996</v>
      </c>
      <c r="AU54" s="118">
        <v>3320</v>
      </c>
      <c r="AV54" s="118">
        <v>11900</v>
      </c>
      <c r="AW54" s="113">
        <f t="shared" si="21"/>
        <v>0.27899159663865547</v>
      </c>
      <c r="AX54" s="114">
        <v>12</v>
      </c>
      <c r="AY54" s="115">
        <f>AV54*30%</f>
        <v>3570</v>
      </c>
      <c r="AZ54" s="113">
        <f t="shared" si="22"/>
        <v>0.3</v>
      </c>
      <c r="BA54" s="115">
        <f>AV54*31%</f>
        <v>3689</v>
      </c>
      <c r="BB54" s="113">
        <f t="shared" si="23"/>
        <v>0.31</v>
      </c>
      <c r="BC54" s="115">
        <f t="shared" si="50"/>
        <v>2582.2999999999997</v>
      </c>
      <c r="BD54" s="247">
        <v>272.26</v>
      </c>
      <c r="BE54" s="119">
        <f t="shared" si="24"/>
        <v>703056.99799999991</v>
      </c>
      <c r="BF54" s="115">
        <f t="shared" si="51"/>
        <v>2656.08</v>
      </c>
      <c r="BG54" s="115">
        <f t="shared" si="25"/>
        <v>1781.7869999999996</v>
      </c>
      <c r="BH54" s="115">
        <f t="shared" si="26"/>
        <v>3061.87</v>
      </c>
      <c r="BI54" s="114">
        <f>AV54*33%</f>
        <v>3927</v>
      </c>
      <c r="BJ54" s="113">
        <f t="shared" si="27"/>
        <v>0.33</v>
      </c>
      <c r="BK54" s="115">
        <f t="shared" si="52"/>
        <v>2788.17</v>
      </c>
      <c r="BL54" s="115">
        <f t="shared" si="53"/>
        <v>2827.44</v>
      </c>
      <c r="BM54" s="115">
        <f t="shared" si="75"/>
        <v>1923.8372999999999</v>
      </c>
      <c r="BN54" s="115">
        <f t="shared" si="29"/>
        <v>3259.41</v>
      </c>
      <c r="BO54" s="114">
        <v>35</v>
      </c>
      <c r="BP54" s="114">
        <v>31</v>
      </c>
      <c r="BQ54" s="114"/>
      <c r="BR54" s="114">
        <v>376</v>
      </c>
      <c r="BS54" s="114">
        <f>9600*10.5%</f>
        <v>1008</v>
      </c>
      <c r="BT54" s="114">
        <f>8600*4%</f>
        <v>344</v>
      </c>
      <c r="BU54" s="114">
        <v>350</v>
      </c>
      <c r="BV54" s="114">
        <v>450</v>
      </c>
      <c r="BW54" s="114">
        <v>750</v>
      </c>
      <c r="BX54" s="115">
        <f t="shared" si="63"/>
        <v>495</v>
      </c>
      <c r="BY54" s="247">
        <v>385.36</v>
      </c>
      <c r="BZ54" s="119">
        <f t="shared" si="30"/>
        <v>190753.2</v>
      </c>
      <c r="CA54" s="115">
        <f t="shared" si="55"/>
        <v>540</v>
      </c>
      <c r="CB54" s="115">
        <f t="shared" si="76"/>
        <v>341.54999999999995</v>
      </c>
      <c r="CC54" s="115">
        <f t="shared" si="32"/>
        <v>622.5</v>
      </c>
      <c r="CD54" s="114">
        <v>1280</v>
      </c>
      <c r="CE54" s="115">
        <f t="shared" si="56"/>
        <v>844.80000000000007</v>
      </c>
      <c r="CF54" s="115">
        <f t="shared" si="71"/>
        <v>921.59999999999991</v>
      </c>
      <c r="CG54" s="115">
        <f t="shared" si="77"/>
        <v>582.91200000000003</v>
      </c>
      <c r="CH54" s="115">
        <f t="shared" si="34"/>
        <v>1062.3999999999999</v>
      </c>
      <c r="CI54" s="139">
        <v>250</v>
      </c>
      <c r="CJ54" s="140">
        <v>1351</v>
      </c>
      <c r="CK54" s="139">
        <f>CJ54*CI54</f>
        <v>337750</v>
      </c>
      <c r="CL54" s="186" t="s">
        <v>160</v>
      </c>
      <c r="CM54" s="139">
        <v>1440</v>
      </c>
      <c r="CN54" s="185">
        <f>CN56+CN57</f>
        <v>327712</v>
      </c>
      <c r="CO54" s="139">
        <f>SUM(CO55:CO58)</f>
        <v>76</v>
      </c>
      <c r="CP54" s="140">
        <v>2249.79</v>
      </c>
      <c r="CQ54" s="139">
        <f t="shared" si="35"/>
        <v>170984.04</v>
      </c>
      <c r="CR54" s="139">
        <v>0</v>
      </c>
      <c r="CS54" s="140">
        <v>445.51</v>
      </c>
      <c r="CT54" s="139">
        <f t="shared" si="54"/>
        <v>0</v>
      </c>
      <c r="CU54" s="139">
        <v>0</v>
      </c>
      <c r="CV54" s="140">
        <v>2249.79</v>
      </c>
      <c r="CW54" s="139">
        <f t="shared" si="36"/>
        <v>0</v>
      </c>
      <c r="CX54" s="139">
        <f>SUM(CX55:CX58)</f>
        <v>11</v>
      </c>
      <c r="CY54" s="140">
        <v>2249.79</v>
      </c>
      <c r="CZ54" s="139">
        <f t="shared" si="37"/>
        <v>24747.69</v>
      </c>
      <c r="DA54" s="139">
        <f>SUM(DA55:DA58)</f>
        <v>230</v>
      </c>
      <c r="DB54" s="140">
        <v>464.26</v>
      </c>
      <c r="DC54" s="139">
        <f t="shared" si="38"/>
        <v>106779.8</v>
      </c>
      <c r="DD54" s="139">
        <f>SUM(DD55:DD58)</f>
        <v>25</v>
      </c>
      <c r="DE54" s="140">
        <v>2249.79</v>
      </c>
      <c r="DF54" s="139">
        <f t="shared" si="39"/>
        <v>56244.75</v>
      </c>
      <c r="DG54" s="139">
        <v>0</v>
      </c>
      <c r="DH54" s="140">
        <v>2249.79</v>
      </c>
      <c r="DI54" s="139">
        <f t="shared" si="40"/>
        <v>0</v>
      </c>
      <c r="DJ54" s="139">
        <f>SUM(DJ55:DJ58)</f>
        <v>100</v>
      </c>
      <c r="DK54" s="139">
        <v>504.26</v>
      </c>
      <c r="DL54" s="139">
        <f t="shared" si="41"/>
        <v>50426</v>
      </c>
      <c r="DM54" s="139">
        <f>SUM(DM55:DM58)</f>
        <v>4</v>
      </c>
      <c r="DN54" s="140">
        <v>2249.79</v>
      </c>
      <c r="DO54" s="205">
        <f t="shared" si="42"/>
        <v>8999.16</v>
      </c>
      <c r="DP54" s="197"/>
    </row>
    <row r="55" spans="1:120" ht="25.5" x14ac:dyDescent="0.25">
      <c r="A55" s="17" t="s">
        <v>77</v>
      </c>
      <c r="B55" s="9"/>
      <c r="C55" s="19" t="s">
        <v>78</v>
      </c>
      <c r="D55" s="190"/>
      <c r="E55" s="10"/>
      <c r="F55" s="191"/>
      <c r="G55" s="7"/>
      <c r="H55" s="7"/>
      <c r="I55" s="7"/>
      <c r="J55" s="10"/>
      <c r="K55" s="7">
        <v>3764</v>
      </c>
      <c r="L55" s="241">
        <v>299.54000000000002</v>
      </c>
      <c r="M55" s="187">
        <f>K55*L55</f>
        <v>1127468.56</v>
      </c>
      <c r="N55" s="7"/>
      <c r="O55" s="7">
        <f>K55*58%</f>
        <v>2183.12</v>
      </c>
      <c r="P55" s="7"/>
      <c r="Q55" s="7"/>
      <c r="R55" s="188"/>
      <c r="S55" s="7"/>
      <c r="T55" s="7"/>
      <c r="U55" s="7"/>
      <c r="V55" s="7"/>
      <c r="W55" s="7">
        <f t="shared" si="8"/>
        <v>263.48</v>
      </c>
      <c r="X55" s="247">
        <v>14</v>
      </c>
      <c r="Y55" s="187">
        <f t="shared" si="9"/>
        <v>3688.7200000000003</v>
      </c>
      <c r="Z55" s="9"/>
      <c r="AA55" s="9"/>
      <c r="AB55" s="9"/>
      <c r="AC55" s="10"/>
      <c r="AD55" s="11"/>
      <c r="AE55" s="7"/>
      <c r="AF55" s="10"/>
      <c r="AG55" s="18"/>
      <c r="AH55" s="10"/>
      <c r="AI55" s="7">
        <v>0</v>
      </c>
      <c r="AJ55" s="250">
        <v>299.14</v>
      </c>
      <c r="AK55" s="187">
        <v>0</v>
      </c>
      <c r="AL55" s="7"/>
      <c r="AM55" s="7">
        <v>0</v>
      </c>
      <c r="AN55" s="7"/>
      <c r="AO55" s="18"/>
      <c r="AP55" s="10"/>
      <c r="AQ55" s="7"/>
      <c r="AR55" s="7"/>
      <c r="AS55" s="7"/>
      <c r="AT55" s="7"/>
      <c r="AU55" s="12"/>
      <c r="AV55" s="12"/>
      <c r="AW55" s="10"/>
      <c r="AX55" s="11"/>
      <c r="AY55" s="7"/>
      <c r="AZ55" s="10"/>
      <c r="BA55" s="7"/>
      <c r="BB55" s="10"/>
      <c r="BC55" s="7">
        <v>0</v>
      </c>
      <c r="BD55" s="247">
        <v>272.26</v>
      </c>
      <c r="BE55" s="187">
        <v>0</v>
      </c>
      <c r="BF55" s="7"/>
      <c r="BG55" s="7">
        <v>0</v>
      </c>
      <c r="BH55" s="7"/>
      <c r="BI55" s="11"/>
      <c r="BJ55" s="10"/>
      <c r="BK55" s="7"/>
      <c r="BL55" s="7"/>
      <c r="BM55" s="7"/>
      <c r="BN55" s="7"/>
      <c r="BO55" s="11"/>
      <c r="BP55" s="11"/>
      <c r="BQ55" s="11"/>
      <c r="BR55" s="11"/>
      <c r="BS55" s="11"/>
      <c r="BT55" s="11"/>
      <c r="BU55" s="11"/>
      <c r="BV55" s="11"/>
      <c r="BW55" s="11"/>
      <c r="BX55" s="7">
        <v>0</v>
      </c>
      <c r="BY55" s="247">
        <v>0</v>
      </c>
      <c r="BZ55" s="187">
        <v>0</v>
      </c>
      <c r="CA55" s="7"/>
      <c r="CB55" s="7">
        <v>0</v>
      </c>
      <c r="CC55" s="7"/>
      <c r="CD55" s="11"/>
      <c r="CE55" s="7"/>
      <c r="CF55" s="7"/>
      <c r="CG55" s="7"/>
      <c r="CH55" s="7"/>
      <c r="CI55" s="13">
        <v>0</v>
      </c>
      <c r="CJ55" s="189">
        <v>0</v>
      </c>
      <c r="CK55" s="13">
        <f t="shared" si="64"/>
        <v>0</v>
      </c>
      <c r="CL55" s="13"/>
      <c r="CM55" s="13">
        <v>1440</v>
      </c>
      <c r="CN55" s="14">
        <v>0</v>
      </c>
      <c r="CO55" s="13">
        <v>25</v>
      </c>
      <c r="CP55" s="189">
        <v>2249.79</v>
      </c>
      <c r="CQ55" s="13">
        <f t="shared" si="35"/>
        <v>56244.75</v>
      </c>
      <c r="CR55" s="13">
        <v>0</v>
      </c>
      <c r="CS55" s="189">
        <v>445.51</v>
      </c>
      <c r="CT55" s="13">
        <f t="shared" si="54"/>
        <v>0</v>
      </c>
      <c r="CU55" s="13">
        <v>0</v>
      </c>
      <c r="CV55" s="189">
        <v>2249.79</v>
      </c>
      <c r="CW55" s="13">
        <f t="shared" si="36"/>
        <v>0</v>
      </c>
      <c r="CX55" s="13">
        <v>0</v>
      </c>
      <c r="CY55" s="189">
        <v>2249.79</v>
      </c>
      <c r="CZ55" s="13">
        <f t="shared" si="37"/>
        <v>0</v>
      </c>
      <c r="DA55" s="13">
        <v>0</v>
      </c>
      <c r="DB55" s="189">
        <v>464.26</v>
      </c>
      <c r="DC55" s="13">
        <f t="shared" si="38"/>
        <v>0</v>
      </c>
      <c r="DD55" s="13">
        <v>0</v>
      </c>
      <c r="DE55" s="189">
        <v>2249.79</v>
      </c>
      <c r="DF55" s="13">
        <f t="shared" si="39"/>
        <v>0</v>
      </c>
      <c r="DG55" s="13">
        <v>0</v>
      </c>
      <c r="DH55" s="189">
        <v>2249.79</v>
      </c>
      <c r="DI55" s="13">
        <f t="shared" si="40"/>
        <v>0</v>
      </c>
      <c r="DJ55" s="13">
        <v>0</v>
      </c>
      <c r="DK55" s="13">
        <v>504.26</v>
      </c>
      <c r="DL55" s="13">
        <f t="shared" si="41"/>
        <v>0</v>
      </c>
      <c r="DM55" s="13">
        <v>0</v>
      </c>
      <c r="DN55" s="189">
        <v>2249.79</v>
      </c>
      <c r="DO55" s="16">
        <f t="shared" si="42"/>
        <v>0</v>
      </c>
      <c r="DP55" s="196"/>
    </row>
    <row r="56" spans="1:120" ht="25.5" x14ac:dyDescent="0.25">
      <c r="A56" s="17" t="s">
        <v>77</v>
      </c>
      <c r="B56" s="9"/>
      <c r="C56" s="19" t="s">
        <v>79</v>
      </c>
      <c r="D56" s="190"/>
      <c r="E56" s="10"/>
      <c r="F56" s="191"/>
      <c r="G56" s="7"/>
      <c r="H56" s="7"/>
      <c r="I56" s="7"/>
      <c r="J56" s="10"/>
      <c r="K56" s="7">
        <v>3764</v>
      </c>
      <c r="L56" s="241">
        <v>299.54000000000002</v>
      </c>
      <c r="M56" s="187">
        <f>K56*L56</f>
        <v>1127468.56</v>
      </c>
      <c r="N56" s="7"/>
      <c r="O56" s="7">
        <f>K56*58%</f>
        <v>2183.12</v>
      </c>
      <c r="P56" s="7"/>
      <c r="Q56" s="7"/>
      <c r="R56" s="188"/>
      <c r="S56" s="7"/>
      <c r="T56" s="7"/>
      <c r="U56" s="7"/>
      <c r="V56" s="7"/>
      <c r="W56" s="7">
        <f t="shared" si="8"/>
        <v>263.48</v>
      </c>
      <c r="X56" s="247">
        <v>14</v>
      </c>
      <c r="Y56" s="187">
        <f t="shared" si="9"/>
        <v>3688.7200000000003</v>
      </c>
      <c r="Z56" s="9"/>
      <c r="AA56" s="9"/>
      <c r="AB56" s="9"/>
      <c r="AC56" s="10"/>
      <c r="AD56" s="11"/>
      <c r="AE56" s="7"/>
      <c r="AF56" s="10"/>
      <c r="AG56" s="18"/>
      <c r="AH56" s="10"/>
      <c r="AI56" s="7">
        <f>AI54</f>
        <v>3465</v>
      </c>
      <c r="AJ56" s="250">
        <v>299.14</v>
      </c>
      <c r="AK56" s="187">
        <f>AI56*AJ56</f>
        <v>1036520.1</v>
      </c>
      <c r="AL56" s="7"/>
      <c r="AM56" s="7">
        <f>AI56*66%</f>
        <v>2286.9</v>
      </c>
      <c r="AN56" s="7"/>
      <c r="AO56" s="18"/>
      <c r="AP56" s="10"/>
      <c r="AQ56" s="7"/>
      <c r="AR56" s="7"/>
      <c r="AS56" s="7"/>
      <c r="AT56" s="7"/>
      <c r="AU56" s="12"/>
      <c r="AV56" s="12"/>
      <c r="AW56" s="10"/>
      <c r="AX56" s="11"/>
      <c r="AY56" s="7"/>
      <c r="AZ56" s="10"/>
      <c r="BA56" s="7"/>
      <c r="BB56" s="10"/>
      <c r="BC56" s="7">
        <v>0</v>
      </c>
      <c r="BD56" s="247">
        <v>272.26</v>
      </c>
      <c r="BE56" s="187">
        <v>0</v>
      </c>
      <c r="BF56" s="7"/>
      <c r="BG56" s="7">
        <v>0</v>
      </c>
      <c r="BH56" s="7"/>
      <c r="BI56" s="11"/>
      <c r="BJ56" s="10"/>
      <c r="BK56" s="7"/>
      <c r="BL56" s="7"/>
      <c r="BM56" s="7"/>
      <c r="BN56" s="7"/>
      <c r="BO56" s="11"/>
      <c r="BP56" s="11"/>
      <c r="BQ56" s="11"/>
      <c r="BR56" s="11"/>
      <c r="BS56" s="11"/>
      <c r="BT56" s="11"/>
      <c r="BU56" s="11"/>
      <c r="BV56" s="11"/>
      <c r="BW56" s="11"/>
      <c r="BX56" s="7">
        <v>0</v>
      </c>
      <c r="BY56" s="247">
        <v>0</v>
      </c>
      <c r="BZ56" s="187">
        <v>0</v>
      </c>
      <c r="CA56" s="7"/>
      <c r="CB56" s="7">
        <v>0</v>
      </c>
      <c r="CC56" s="7"/>
      <c r="CD56" s="11"/>
      <c r="CE56" s="7"/>
      <c r="CF56" s="7"/>
      <c r="CG56" s="7"/>
      <c r="CH56" s="7"/>
      <c r="CI56" s="13">
        <v>0</v>
      </c>
      <c r="CJ56" s="189">
        <v>0</v>
      </c>
      <c r="CK56" s="13">
        <f t="shared" si="64"/>
        <v>0</v>
      </c>
      <c r="CL56" s="13" t="s">
        <v>158</v>
      </c>
      <c r="CM56" s="13">
        <v>1440</v>
      </c>
      <c r="CN56" s="14">
        <v>177116</v>
      </c>
      <c r="CO56" s="13">
        <v>11</v>
      </c>
      <c r="CP56" s="189">
        <v>2249.79</v>
      </c>
      <c r="CQ56" s="13">
        <f t="shared" si="35"/>
        <v>24747.69</v>
      </c>
      <c r="CR56" s="13">
        <v>0</v>
      </c>
      <c r="CS56" s="189">
        <v>445.51</v>
      </c>
      <c r="CT56" s="13">
        <f t="shared" si="54"/>
        <v>0</v>
      </c>
      <c r="CU56" s="13">
        <v>0</v>
      </c>
      <c r="CV56" s="189">
        <v>2249.79</v>
      </c>
      <c r="CW56" s="13">
        <f t="shared" si="36"/>
        <v>0</v>
      </c>
      <c r="CX56" s="13">
        <v>11</v>
      </c>
      <c r="CY56" s="189">
        <v>2249.79</v>
      </c>
      <c r="CZ56" s="13">
        <f t="shared" si="37"/>
        <v>24747.69</v>
      </c>
      <c r="DA56" s="13">
        <v>230</v>
      </c>
      <c r="DB56" s="189">
        <v>464.26</v>
      </c>
      <c r="DC56" s="13">
        <f t="shared" si="38"/>
        <v>106779.8</v>
      </c>
      <c r="DD56" s="13">
        <v>25</v>
      </c>
      <c r="DE56" s="189">
        <v>2249.79</v>
      </c>
      <c r="DF56" s="13">
        <f t="shared" si="39"/>
        <v>56244.75</v>
      </c>
      <c r="DG56" s="13">
        <v>0</v>
      </c>
      <c r="DH56" s="189">
        <v>2249.79</v>
      </c>
      <c r="DI56" s="13">
        <f t="shared" si="40"/>
        <v>0</v>
      </c>
      <c r="DJ56" s="13">
        <v>0</v>
      </c>
      <c r="DK56" s="13">
        <v>504.26</v>
      </c>
      <c r="DL56" s="13">
        <f t="shared" si="41"/>
        <v>0</v>
      </c>
      <c r="DM56" s="13">
        <v>0</v>
      </c>
      <c r="DN56" s="189">
        <v>2249.79</v>
      </c>
      <c r="DO56" s="16">
        <f t="shared" si="42"/>
        <v>0</v>
      </c>
      <c r="DP56" s="196"/>
    </row>
    <row r="57" spans="1:120" ht="76.5" x14ac:dyDescent="0.25">
      <c r="A57" s="17" t="s">
        <v>77</v>
      </c>
      <c r="B57" s="9"/>
      <c r="C57" s="19" t="s">
        <v>80</v>
      </c>
      <c r="D57" s="190"/>
      <c r="E57" s="10"/>
      <c r="F57" s="191"/>
      <c r="G57" s="7"/>
      <c r="H57" s="7"/>
      <c r="I57" s="7"/>
      <c r="J57" s="10"/>
      <c r="K57" s="7">
        <v>10228</v>
      </c>
      <c r="L57" s="241">
        <v>299.54000000000002</v>
      </c>
      <c r="M57" s="187">
        <f>K57*L57</f>
        <v>3063695.12</v>
      </c>
      <c r="N57" s="7"/>
      <c r="O57" s="7">
        <f>K57*58%</f>
        <v>5932.24</v>
      </c>
      <c r="P57" s="7"/>
      <c r="Q57" s="7"/>
      <c r="R57" s="188"/>
      <c r="S57" s="7"/>
      <c r="T57" s="7"/>
      <c r="U57" s="7"/>
      <c r="V57" s="7"/>
      <c r="W57" s="7">
        <f t="shared" si="8"/>
        <v>715.96</v>
      </c>
      <c r="X57" s="247">
        <v>14</v>
      </c>
      <c r="Y57" s="187">
        <f t="shared" si="9"/>
        <v>10023.44</v>
      </c>
      <c r="Z57" s="9"/>
      <c r="AA57" s="9"/>
      <c r="AB57" s="9"/>
      <c r="AC57" s="10"/>
      <c r="AD57" s="11"/>
      <c r="AE57" s="7"/>
      <c r="AF57" s="10"/>
      <c r="AG57" s="18"/>
      <c r="AH57" s="10"/>
      <c r="AI57" s="7">
        <v>0</v>
      </c>
      <c r="AJ57" s="250">
        <v>299.14</v>
      </c>
      <c r="AK57" s="187">
        <v>0</v>
      </c>
      <c r="AL57" s="7"/>
      <c r="AM57" s="7">
        <v>0</v>
      </c>
      <c r="AN57" s="7"/>
      <c r="AO57" s="18"/>
      <c r="AP57" s="10"/>
      <c r="AQ57" s="7"/>
      <c r="AR57" s="7"/>
      <c r="AS57" s="7"/>
      <c r="AT57" s="7"/>
      <c r="AU57" s="12"/>
      <c r="AV57" s="12"/>
      <c r="AW57" s="10"/>
      <c r="AX57" s="11"/>
      <c r="AY57" s="7"/>
      <c r="AZ57" s="10"/>
      <c r="BA57" s="7"/>
      <c r="BB57" s="10"/>
      <c r="BC57" s="7">
        <v>0</v>
      </c>
      <c r="BD57" s="247">
        <v>272.26</v>
      </c>
      <c r="BE57" s="187">
        <v>0</v>
      </c>
      <c r="BF57" s="7"/>
      <c r="BG57" s="7">
        <v>0</v>
      </c>
      <c r="BH57" s="7"/>
      <c r="BI57" s="11"/>
      <c r="BJ57" s="10"/>
      <c r="BK57" s="7"/>
      <c r="BL57" s="7"/>
      <c r="BM57" s="7"/>
      <c r="BN57" s="7"/>
      <c r="BO57" s="11"/>
      <c r="BP57" s="11"/>
      <c r="BQ57" s="11"/>
      <c r="BR57" s="11"/>
      <c r="BS57" s="11"/>
      <c r="BT57" s="11"/>
      <c r="BU57" s="11"/>
      <c r="BV57" s="11"/>
      <c r="BW57" s="11"/>
      <c r="BX57" s="7">
        <v>0</v>
      </c>
      <c r="BY57" s="247">
        <v>0</v>
      </c>
      <c r="BZ57" s="187">
        <v>0</v>
      </c>
      <c r="CA57" s="7"/>
      <c r="CB57" s="7">
        <v>0</v>
      </c>
      <c r="CC57" s="7"/>
      <c r="CD57" s="11"/>
      <c r="CE57" s="7"/>
      <c r="CF57" s="7"/>
      <c r="CG57" s="7"/>
      <c r="CH57" s="7"/>
      <c r="CI57" s="13">
        <v>0</v>
      </c>
      <c r="CJ57" s="189">
        <v>0</v>
      </c>
      <c r="CK57" s="13">
        <f t="shared" si="64"/>
        <v>0</v>
      </c>
      <c r="CL57" s="13" t="s">
        <v>135</v>
      </c>
      <c r="CM57" s="13">
        <v>1440</v>
      </c>
      <c r="CN57" s="14">
        <v>150596</v>
      </c>
      <c r="CO57" s="13">
        <v>40</v>
      </c>
      <c r="CP57" s="189">
        <v>2249.79</v>
      </c>
      <c r="CQ57" s="13">
        <f t="shared" si="35"/>
        <v>89991.6</v>
      </c>
      <c r="CR57" s="13">
        <v>0</v>
      </c>
      <c r="CS57" s="189">
        <v>445.51</v>
      </c>
      <c r="CT57" s="13">
        <f t="shared" si="54"/>
        <v>0</v>
      </c>
      <c r="CU57" s="13">
        <v>0</v>
      </c>
      <c r="CV57" s="189">
        <v>2249.79</v>
      </c>
      <c r="CW57" s="13">
        <f t="shared" si="36"/>
        <v>0</v>
      </c>
      <c r="CX57" s="13">
        <v>0</v>
      </c>
      <c r="CY57" s="189">
        <v>2249.79</v>
      </c>
      <c r="CZ57" s="13">
        <f t="shared" si="37"/>
        <v>0</v>
      </c>
      <c r="DA57" s="13">
        <v>0</v>
      </c>
      <c r="DB57" s="189">
        <v>464.26</v>
      </c>
      <c r="DC57" s="13">
        <f t="shared" si="38"/>
        <v>0</v>
      </c>
      <c r="DD57" s="13">
        <v>0</v>
      </c>
      <c r="DE57" s="189">
        <v>2249.79</v>
      </c>
      <c r="DF57" s="13">
        <f t="shared" si="39"/>
        <v>0</v>
      </c>
      <c r="DG57" s="13">
        <v>0</v>
      </c>
      <c r="DH57" s="189">
        <v>2249.79</v>
      </c>
      <c r="DI57" s="13">
        <f t="shared" si="40"/>
        <v>0</v>
      </c>
      <c r="DJ57" s="13">
        <v>0</v>
      </c>
      <c r="DK57" s="13">
        <v>504.26</v>
      </c>
      <c r="DL57" s="13">
        <f t="shared" si="41"/>
        <v>0</v>
      </c>
      <c r="DM57" s="13">
        <v>0</v>
      </c>
      <c r="DN57" s="189">
        <v>2249.79</v>
      </c>
      <c r="DO57" s="16">
        <f t="shared" si="42"/>
        <v>0</v>
      </c>
      <c r="DP57" s="196"/>
    </row>
    <row r="58" spans="1:120" ht="51" x14ac:dyDescent="0.25">
      <c r="A58" s="17" t="s">
        <v>77</v>
      </c>
      <c r="B58" s="9"/>
      <c r="C58" s="19" t="s">
        <v>81</v>
      </c>
      <c r="D58" s="9"/>
      <c r="E58" s="10"/>
      <c r="F58" s="7"/>
      <c r="G58" s="7"/>
      <c r="H58" s="10"/>
      <c r="I58" s="191"/>
      <c r="J58" s="10"/>
      <c r="K58" s="7">
        <v>0</v>
      </c>
      <c r="L58" s="241">
        <v>299.54000000000002</v>
      </c>
      <c r="M58" s="187">
        <f>K58*L58</f>
        <v>0</v>
      </c>
      <c r="N58" s="7"/>
      <c r="O58" s="7">
        <f>K58*58%</f>
        <v>0</v>
      </c>
      <c r="P58" s="7"/>
      <c r="Q58" s="7"/>
      <c r="R58" s="188"/>
      <c r="S58" s="7"/>
      <c r="T58" s="7"/>
      <c r="U58" s="7"/>
      <c r="V58" s="7"/>
      <c r="W58" s="7">
        <f t="shared" si="8"/>
        <v>0</v>
      </c>
      <c r="X58" s="247">
        <v>14</v>
      </c>
      <c r="Y58" s="187">
        <f t="shared" si="9"/>
        <v>0</v>
      </c>
      <c r="Z58" s="9"/>
      <c r="AA58" s="9"/>
      <c r="AB58" s="9"/>
      <c r="AC58" s="10"/>
      <c r="AD58" s="11"/>
      <c r="AE58" s="7"/>
      <c r="AF58" s="10"/>
      <c r="AG58" s="18"/>
      <c r="AH58" s="10"/>
      <c r="AI58" s="7">
        <v>0</v>
      </c>
      <c r="AJ58" s="250">
        <v>299.14</v>
      </c>
      <c r="AK58" s="187">
        <v>0</v>
      </c>
      <c r="AL58" s="7"/>
      <c r="AM58" s="7">
        <v>0</v>
      </c>
      <c r="AN58" s="7"/>
      <c r="AO58" s="18"/>
      <c r="AP58" s="10"/>
      <c r="AQ58" s="7"/>
      <c r="AR58" s="7"/>
      <c r="AS58" s="7"/>
      <c r="AT58" s="7"/>
      <c r="AU58" s="12"/>
      <c r="AV58" s="12"/>
      <c r="AW58" s="10"/>
      <c r="AX58" s="11"/>
      <c r="AY58" s="7"/>
      <c r="AZ58" s="10"/>
      <c r="BA58" s="7"/>
      <c r="BB58" s="10"/>
      <c r="BC58" s="7">
        <f>BC54</f>
        <v>2582.2999999999997</v>
      </c>
      <c r="BD58" s="247">
        <v>272.26</v>
      </c>
      <c r="BE58" s="187">
        <f>BC58*BD58</f>
        <v>703056.99799999991</v>
      </c>
      <c r="BF58" s="7"/>
      <c r="BG58" s="7">
        <f>BC58*69%</f>
        <v>1781.7869999999996</v>
      </c>
      <c r="BH58" s="7"/>
      <c r="BI58" s="11"/>
      <c r="BJ58" s="10"/>
      <c r="BK58" s="7"/>
      <c r="BL58" s="7"/>
      <c r="BM58" s="7"/>
      <c r="BN58" s="7"/>
      <c r="BO58" s="11"/>
      <c r="BP58" s="11"/>
      <c r="BQ58" s="11"/>
      <c r="BR58" s="11"/>
      <c r="BS58" s="11"/>
      <c r="BT58" s="11"/>
      <c r="BU58" s="11"/>
      <c r="BV58" s="11"/>
      <c r="BW58" s="11"/>
      <c r="BX58" s="7">
        <f>BX54</f>
        <v>495</v>
      </c>
      <c r="BY58" s="247">
        <v>385.36</v>
      </c>
      <c r="BZ58" s="187">
        <f>BX58*BY58</f>
        <v>190753.2</v>
      </c>
      <c r="CA58" s="7"/>
      <c r="CB58" s="7">
        <f>BX58*69%</f>
        <v>341.54999999999995</v>
      </c>
      <c r="CC58" s="7"/>
      <c r="CD58" s="11"/>
      <c r="CE58" s="7"/>
      <c r="CF58" s="7"/>
      <c r="CG58" s="7"/>
      <c r="CH58" s="7"/>
      <c r="CI58" s="13">
        <v>0</v>
      </c>
      <c r="CJ58" s="189">
        <v>0</v>
      </c>
      <c r="CK58" s="13">
        <f t="shared" si="64"/>
        <v>0</v>
      </c>
      <c r="CL58" s="13"/>
      <c r="CM58" s="13">
        <v>1440</v>
      </c>
      <c r="CN58" s="14">
        <v>0</v>
      </c>
      <c r="CO58" s="13">
        <v>0</v>
      </c>
      <c r="CP58" s="189">
        <v>2249.79</v>
      </c>
      <c r="CQ58" s="13">
        <f t="shared" si="35"/>
        <v>0</v>
      </c>
      <c r="CR58" s="13">
        <v>0</v>
      </c>
      <c r="CS58" s="189">
        <v>445.51</v>
      </c>
      <c r="CT58" s="13">
        <f t="shared" si="54"/>
        <v>0</v>
      </c>
      <c r="CU58" s="13">
        <v>0</v>
      </c>
      <c r="CV58" s="189">
        <v>2249.79</v>
      </c>
      <c r="CW58" s="13">
        <f t="shared" si="36"/>
        <v>0</v>
      </c>
      <c r="CX58" s="13">
        <v>0</v>
      </c>
      <c r="CY58" s="189">
        <v>2249.79</v>
      </c>
      <c r="CZ58" s="13">
        <f t="shared" si="37"/>
        <v>0</v>
      </c>
      <c r="DA58" s="13">
        <v>0</v>
      </c>
      <c r="DB58" s="189">
        <v>464.26</v>
      </c>
      <c r="DC58" s="13">
        <f t="shared" si="38"/>
        <v>0</v>
      </c>
      <c r="DD58" s="13">
        <v>0</v>
      </c>
      <c r="DE58" s="189">
        <v>2249.79</v>
      </c>
      <c r="DF58" s="13">
        <f t="shared" si="39"/>
        <v>0</v>
      </c>
      <c r="DG58" s="13">
        <v>0</v>
      </c>
      <c r="DH58" s="189">
        <v>2249.79</v>
      </c>
      <c r="DI58" s="13">
        <f t="shared" si="40"/>
        <v>0</v>
      </c>
      <c r="DJ58" s="13">
        <v>100</v>
      </c>
      <c r="DK58" s="13">
        <v>504.26</v>
      </c>
      <c r="DL58" s="13">
        <f t="shared" si="41"/>
        <v>50426</v>
      </c>
      <c r="DM58" s="13">
        <v>4</v>
      </c>
      <c r="DN58" s="189">
        <v>2249.79</v>
      </c>
      <c r="DO58" s="16">
        <f t="shared" si="42"/>
        <v>8999.16</v>
      </c>
      <c r="DP58" s="196"/>
    </row>
    <row r="59" spans="1:120" s="143" customFormat="1" x14ac:dyDescent="0.25">
      <c r="A59" s="218" t="s">
        <v>82</v>
      </c>
      <c r="B59" s="112">
        <v>4609</v>
      </c>
      <c r="C59" s="220"/>
      <c r="D59" s="112">
        <v>8200</v>
      </c>
      <c r="E59" s="113">
        <f t="shared" si="74"/>
        <v>0.56207317073170737</v>
      </c>
      <c r="F59" s="114">
        <v>3</v>
      </c>
      <c r="G59" s="115">
        <f>$B59*$G$98/$B$95</f>
        <v>3706.6702424960272</v>
      </c>
      <c r="H59" s="113">
        <f t="shared" si="0"/>
        <v>0.45203295640195451</v>
      </c>
      <c r="I59" s="115">
        <f>D59*52%</f>
        <v>4264</v>
      </c>
      <c r="J59" s="113">
        <f t="shared" si="1"/>
        <v>0.52</v>
      </c>
      <c r="K59" s="115">
        <f t="shared" si="43"/>
        <v>3240.64</v>
      </c>
      <c r="L59" s="241">
        <v>299.54000000000002</v>
      </c>
      <c r="M59" s="119">
        <f t="shared" si="2"/>
        <v>970701.30560000008</v>
      </c>
      <c r="N59" s="115">
        <f t="shared" si="3"/>
        <v>3411.2000000000003</v>
      </c>
      <c r="O59" s="115">
        <f t="shared" si="44"/>
        <v>1879.5711999999999</v>
      </c>
      <c r="P59" s="115">
        <f t="shared" si="45"/>
        <v>3112.72</v>
      </c>
      <c r="Q59" s="115">
        <f>$D59*67%</f>
        <v>5494</v>
      </c>
      <c r="R59" s="116">
        <f t="shared" si="4"/>
        <v>0.67</v>
      </c>
      <c r="S59" s="115">
        <f t="shared" si="5"/>
        <v>4175.4399999999996</v>
      </c>
      <c r="T59" s="115">
        <f t="shared" si="6"/>
        <v>4395.2</v>
      </c>
      <c r="U59" s="115">
        <f t="shared" si="46"/>
        <v>2421.7551999999996</v>
      </c>
      <c r="V59" s="115">
        <f t="shared" si="7"/>
        <v>4010.62</v>
      </c>
      <c r="W59" s="115">
        <f t="shared" si="8"/>
        <v>226.84480000000002</v>
      </c>
      <c r="X59" s="246">
        <v>14</v>
      </c>
      <c r="Y59" s="119">
        <f t="shared" si="9"/>
        <v>3175.8272000000002</v>
      </c>
      <c r="Z59" s="112">
        <v>327</v>
      </c>
      <c r="AA59" s="112"/>
      <c r="AB59" s="112">
        <v>1900</v>
      </c>
      <c r="AC59" s="113">
        <f t="shared" si="10"/>
        <v>0.17210526315789473</v>
      </c>
      <c r="AD59" s="114">
        <v>7</v>
      </c>
      <c r="AE59" s="115">
        <f>$AB59*23%</f>
        <v>437</v>
      </c>
      <c r="AF59" s="113">
        <f t="shared" si="11"/>
        <v>0.23</v>
      </c>
      <c r="AG59" s="114">
        <f>AB59*53%</f>
        <v>1007</v>
      </c>
      <c r="AH59" s="113">
        <f t="shared" si="12"/>
        <v>0.53</v>
      </c>
      <c r="AI59" s="115">
        <f t="shared" si="47"/>
        <v>755.25</v>
      </c>
      <c r="AJ59" s="250">
        <v>299.14</v>
      </c>
      <c r="AK59" s="119">
        <f t="shared" si="13"/>
        <v>225925.48499999999</v>
      </c>
      <c r="AL59" s="115">
        <f t="shared" si="14"/>
        <v>815.67000000000007</v>
      </c>
      <c r="AM59" s="115">
        <f t="shared" si="15"/>
        <v>498.46500000000003</v>
      </c>
      <c r="AN59" s="115">
        <f t="shared" si="16"/>
        <v>855.94999999999993</v>
      </c>
      <c r="AO59" s="114">
        <f>AB59*63%</f>
        <v>1197</v>
      </c>
      <c r="AP59" s="113">
        <f t="shared" si="18"/>
        <v>0.63</v>
      </c>
      <c r="AQ59" s="115">
        <f t="shared" si="48"/>
        <v>897.75</v>
      </c>
      <c r="AR59" s="115">
        <f t="shared" si="49"/>
        <v>969.57</v>
      </c>
      <c r="AS59" s="115">
        <f t="shared" si="19"/>
        <v>610.47</v>
      </c>
      <c r="AT59" s="115">
        <f t="shared" si="20"/>
        <v>1053.3599999999999</v>
      </c>
      <c r="AU59" s="118">
        <v>578</v>
      </c>
      <c r="AV59" s="118">
        <v>3100</v>
      </c>
      <c r="AW59" s="113">
        <f t="shared" si="21"/>
        <v>0.18645161290322582</v>
      </c>
      <c r="AX59" s="114">
        <v>5</v>
      </c>
      <c r="AY59" s="115">
        <f>AV59*23%</f>
        <v>713</v>
      </c>
      <c r="AZ59" s="113">
        <f t="shared" si="22"/>
        <v>0.23</v>
      </c>
      <c r="BA59" s="114">
        <f>AV59*25%</f>
        <v>775</v>
      </c>
      <c r="BB59" s="113">
        <f t="shared" si="23"/>
        <v>0.25</v>
      </c>
      <c r="BC59" s="115">
        <f t="shared" si="50"/>
        <v>542.5</v>
      </c>
      <c r="BD59" s="247">
        <v>272.26</v>
      </c>
      <c r="BE59" s="119">
        <f t="shared" si="24"/>
        <v>147701.04999999999</v>
      </c>
      <c r="BF59" s="115">
        <f t="shared" si="51"/>
        <v>558</v>
      </c>
      <c r="BG59" s="115">
        <f t="shared" si="25"/>
        <v>374.32499999999999</v>
      </c>
      <c r="BH59" s="115">
        <f t="shared" si="26"/>
        <v>643.25</v>
      </c>
      <c r="BI59" s="114">
        <f>AV59*26%</f>
        <v>806</v>
      </c>
      <c r="BJ59" s="113">
        <f t="shared" si="27"/>
        <v>0.26</v>
      </c>
      <c r="BK59" s="115">
        <f t="shared" si="52"/>
        <v>572.26</v>
      </c>
      <c r="BL59" s="115">
        <f t="shared" si="53"/>
        <v>580.31999999999994</v>
      </c>
      <c r="BM59" s="115">
        <f t="shared" si="75"/>
        <v>394.85939999999994</v>
      </c>
      <c r="BN59" s="115">
        <f t="shared" si="29"/>
        <v>668.98</v>
      </c>
      <c r="BO59" s="114"/>
      <c r="BP59" s="114"/>
      <c r="BQ59" s="114"/>
      <c r="BR59" s="114"/>
      <c r="BS59" s="115">
        <f>1300*3.7%</f>
        <v>48.100000000000009</v>
      </c>
      <c r="BT59" s="115">
        <f>1100*0.7%</f>
        <v>7.6999999999999993</v>
      </c>
      <c r="BU59" s="114">
        <v>20</v>
      </c>
      <c r="BV59" s="114"/>
      <c r="BW59" s="114">
        <v>0</v>
      </c>
      <c r="BX59" s="115">
        <v>0</v>
      </c>
      <c r="BY59" s="246"/>
      <c r="BZ59" s="119">
        <f t="shared" si="30"/>
        <v>0</v>
      </c>
      <c r="CA59" s="115"/>
      <c r="CB59" s="115">
        <v>0</v>
      </c>
      <c r="CC59" s="115"/>
      <c r="CD59" s="114"/>
      <c r="CE59" s="115"/>
      <c r="CF59" s="115"/>
      <c r="CG59" s="115"/>
      <c r="CH59" s="115"/>
      <c r="CI59" s="139">
        <v>200</v>
      </c>
      <c r="CJ59" s="140">
        <v>1351</v>
      </c>
      <c r="CK59" s="139">
        <f t="shared" si="64"/>
        <v>270200</v>
      </c>
      <c r="CL59" s="139" t="s">
        <v>135</v>
      </c>
      <c r="CM59" s="139">
        <v>1440</v>
      </c>
      <c r="CN59" s="185">
        <v>150596</v>
      </c>
      <c r="CO59" s="139">
        <v>13</v>
      </c>
      <c r="CP59" s="140">
        <v>2249.79</v>
      </c>
      <c r="CQ59" s="139">
        <f t="shared" si="35"/>
        <v>29247.27</v>
      </c>
      <c r="CR59" s="139">
        <v>0</v>
      </c>
      <c r="CS59" s="140">
        <v>445.51</v>
      </c>
      <c r="CT59" s="139">
        <f t="shared" si="54"/>
        <v>0</v>
      </c>
      <c r="CU59" s="139">
        <v>0</v>
      </c>
      <c r="CV59" s="140">
        <v>2249.79</v>
      </c>
      <c r="CW59" s="139">
        <f t="shared" si="36"/>
        <v>0</v>
      </c>
      <c r="CX59" s="139">
        <v>0</v>
      </c>
      <c r="CY59" s="140">
        <v>2249.79</v>
      </c>
      <c r="CZ59" s="139">
        <f t="shared" si="37"/>
        <v>0</v>
      </c>
      <c r="DA59" s="139">
        <v>0</v>
      </c>
      <c r="DB59" s="140">
        <v>464.26</v>
      </c>
      <c r="DC59" s="139">
        <f t="shared" si="38"/>
        <v>0</v>
      </c>
      <c r="DD59" s="139">
        <v>0</v>
      </c>
      <c r="DE59" s="140">
        <v>2249.79</v>
      </c>
      <c r="DF59" s="139">
        <f t="shared" si="39"/>
        <v>0</v>
      </c>
      <c r="DG59" s="139">
        <v>0</v>
      </c>
      <c r="DH59" s="140">
        <v>2249.79</v>
      </c>
      <c r="DI59" s="139">
        <f t="shared" si="40"/>
        <v>0</v>
      </c>
      <c r="DJ59" s="139">
        <v>0</v>
      </c>
      <c r="DK59" s="139">
        <v>504.26</v>
      </c>
      <c r="DL59" s="139">
        <f t="shared" si="41"/>
        <v>0</v>
      </c>
      <c r="DM59" s="139">
        <v>0</v>
      </c>
      <c r="DN59" s="140">
        <v>2249.79</v>
      </c>
      <c r="DO59" s="205">
        <f t="shared" si="42"/>
        <v>0</v>
      </c>
      <c r="DP59" s="197"/>
    </row>
    <row r="60" spans="1:120" s="143" customFormat="1" x14ac:dyDescent="0.25">
      <c r="A60" s="218" t="s">
        <v>83</v>
      </c>
      <c r="B60" s="112">
        <v>2841</v>
      </c>
      <c r="C60" s="220"/>
      <c r="D60" s="112">
        <v>4700</v>
      </c>
      <c r="E60" s="113">
        <f t="shared" si="74"/>
        <v>0.60446808510638295</v>
      </c>
      <c r="F60" s="114">
        <v>7</v>
      </c>
      <c r="G60" s="115">
        <f>$B60*$G$98/$B$95</f>
        <v>2284.801509857065</v>
      </c>
      <c r="H60" s="113">
        <f t="shared" si="0"/>
        <v>0.48612798082065212</v>
      </c>
      <c r="I60" s="115">
        <f>D60*61%</f>
        <v>2867</v>
      </c>
      <c r="J60" s="113">
        <f t="shared" si="1"/>
        <v>0.61</v>
      </c>
      <c r="K60" s="115">
        <f t="shared" si="43"/>
        <v>2178.92</v>
      </c>
      <c r="L60" s="241">
        <v>299.54000000000002</v>
      </c>
      <c r="M60" s="119">
        <f t="shared" si="2"/>
        <v>652673.69680000003</v>
      </c>
      <c r="N60" s="115">
        <f t="shared" si="3"/>
        <v>2293.6</v>
      </c>
      <c r="O60" s="115">
        <f t="shared" si="44"/>
        <v>1263.7736</v>
      </c>
      <c r="P60" s="115">
        <f t="shared" si="45"/>
        <v>2092.91</v>
      </c>
      <c r="Q60" s="115">
        <f>D60*70%</f>
        <v>3290</v>
      </c>
      <c r="R60" s="116">
        <f t="shared" si="4"/>
        <v>0.7</v>
      </c>
      <c r="S60" s="115">
        <f t="shared" si="5"/>
        <v>2500.4</v>
      </c>
      <c r="T60" s="115">
        <f t="shared" si="6"/>
        <v>2632</v>
      </c>
      <c r="U60" s="115">
        <f t="shared" si="46"/>
        <v>1450.232</v>
      </c>
      <c r="V60" s="115">
        <f t="shared" si="7"/>
        <v>2401.6999999999998</v>
      </c>
      <c r="W60" s="115">
        <f t="shared" si="8"/>
        <v>152.52440000000001</v>
      </c>
      <c r="X60" s="246">
        <v>14</v>
      </c>
      <c r="Y60" s="119">
        <f t="shared" si="9"/>
        <v>2135.3416000000002</v>
      </c>
      <c r="Z60" s="112">
        <v>438</v>
      </c>
      <c r="AA60" s="112"/>
      <c r="AB60" s="112">
        <v>1200</v>
      </c>
      <c r="AC60" s="113">
        <f t="shared" si="10"/>
        <v>0.36499999999999999</v>
      </c>
      <c r="AD60" s="114">
        <v>2</v>
      </c>
      <c r="AE60" s="115">
        <f>$Z60</f>
        <v>438</v>
      </c>
      <c r="AF60" s="113">
        <f t="shared" si="11"/>
        <v>0.36499999999999999</v>
      </c>
      <c r="AG60" s="117">
        <f>AB60*50%</f>
        <v>600</v>
      </c>
      <c r="AH60" s="113">
        <f t="shared" si="12"/>
        <v>0.5</v>
      </c>
      <c r="AI60" s="115">
        <f t="shared" si="47"/>
        <v>450</v>
      </c>
      <c r="AJ60" s="250">
        <v>299.14</v>
      </c>
      <c r="AK60" s="119">
        <f t="shared" si="13"/>
        <v>134613</v>
      </c>
      <c r="AL60" s="115">
        <f t="shared" si="14"/>
        <v>486.00000000000006</v>
      </c>
      <c r="AM60" s="115">
        <f t="shared" si="15"/>
        <v>297</v>
      </c>
      <c r="AN60" s="115">
        <f t="shared" si="16"/>
        <v>510</v>
      </c>
      <c r="AO60" s="117">
        <f>AB60*61%</f>
        <v>732</v>
      </c>
      <c r="AP60" s="113">
        <f t="shared" si="18"/>
        <v>0.61</v>
      </c>
      <c r="AQ60" s="115">
        <f t="shared" si="48"/>
        <v>549</v>
      </c>
      <c r="AR60" s="115">
        <f t="shared" si="49"/>
        <v>592.92000000000007</v>
      </c>
      <c r="AS60" s="115">
        <f t="shared" si="19"/>
        <v>373.32000000000005</v>
      </c>
      <c r="AT60" s="115">
        <f t="shared" si="20"/>
        <v>644.16</v>
      </c>
      <c r="AU60" s="118">
        <v>686</v>
      </c>
      <c r="AV60" s="118">
        <v>2400</v>
      </c>
      <c r="AW60" s="113">
        <f t="shared" si="21"/>
        <v>0.28583333333333333</v>
      </c>
      <c r="AX60" s="114">
        <v>5</v>
      </c>
      <c r="AY60" s="115">
        <f>AV60*29%</f>
        <v>696</v>
      </c>
      <c r="AZ60" s="113">
        <f t="shared" si="22"/>
        <v>0.28999999999999998</v>
      </c>
      <c r="BA60" s="114">
        <f>AV60*29%</f>
        <v>696</v>
      </c>
      <c r="BB60" s="113">
        <f t="shared" si="23"/>
        <v>0.28999999999999998</v>
      </c>
      <c r="BC60" s="115">
        <f t="shared" si="50"/>
        <v>487.2</v>
      </c>
      <c r="BD60" s="247">
        <v>272.26</v>
      </c>
      <c r="BE60" s="119">
        <f t="shared" si="24"/>
        <v>132645.07199999999</v>
      </c>
      <c r="BF60" s="115">
        <f t="shared" si="51"/>
        <v>501.12</v>
      </c>
      <c r="BG60" s="115">
        <f t="shared" si="25"/>
        <v>336.16799999999995</v>
      </c>
      <c r="BH60" s="115">
        <f t="shared" si="26"/>
        <v>577.67999999999995</v>
      </c>
      <c r="BI60" s="114">
        <f>AV60*29%</f>
        <v>696</v>
      </c>
      <c r="BJ60" s="113">
        <f t="shared" si="27"/>
        <v>0.28999999999999998</v>
      </c>
      <c r="BK60" s="115">
        <f t="shared" si="52"/>
        <v>494.15999999999997</v>
      </c>
      <c r="BL60" s="115">
        <f t="shared" si="53"/>
        <v>501.12</v>
      </c>
      <c r="BM60" s="115">
        <f t="shared" si="75"/>
        <v>340.97039999999993</v>
      </c>
      <c r="BN60" s="115">
        <f t="shared" si="29"/>
        <v>577.67999999999995</v>
      </c>
      <c r="BO60" s="114"/>
      <c r="BP60" s="114"/>
      <c r="BQ60" s="114"/>
      <c r="BR60" s="114">
        <v>18</v>
      </c>
      <c r="BS60" s="114">
        <f>1100*1%</f>
        <v>11</v>
      </c>
      <c r="BT60" s="115">
        <f>1300*7.3%</f>
        <v>94.899999999999991</v>
      </c>
      <c r="BU60" s="114">
        <v>30</v>
      </c>
      <c r="BV60" s="114">
        <v>35</v>
      </c>
      <c r="BW60" s="114">
        <v>20</v>
      </c>
      <c r="BX60" s="115">
        <f t="shared" si="63"/>
        <v>13.200000000000001</v>
      </c>
      <c r="BY60" s="247">
        <v>385.36</v>
      </c>
      <c r="BZ60" s="119">
        <f t="shared" si="30"/>
        <v>5086.7520000000004</v>
      </c>
      <c r="CA60" s="115">
        <f t="shared" si="55"/>
        <v>14.399999999999999</v>
      </c>
      <c r="CB60" s="115">
        <f t="shared" si="76"/>
        <v>9.1080000000000005</v>
      </c>
      <c r="CC60" s="115">
        <f t="shared" si="32"/>
        <v>16.599999999999998</v>
      </c>
      <c r="CD60" s="114">
        <f t="shared" si="66"/>
        <v>32</v>
      </c>
      <c r="CE60" s="115">
        <f t="shared" si="56"/>
        <v>21.12</v>
      </c>
      <c r="CF60" s="115">
        <f t="shared" si="71"/>
        <v>23.04</v>
      </c>
      <c r="CG60" s="115">
        <f t="shared" si="77"/>
        <v>14.572799999999999</v>
      </c>
      <c r="CH60" s="115">
        <f t="shared" si="34"/>
        <v>26.56</v>
      </c>
      <c r="CI60" s="139">
        <v>0</v>
      </c>
      <c r="CJ60" s="140">
        <v>0</v>
      </c>
      <c r="CK60" s="139">
        <f t="shared" si="64"/>
        <v>0</v>
      </c>
      <c r="CL60" s="139" t="s">
        <v>135</v>
      </c>
      <c r="CM60" s="139">
        <v>1440</v>
      </c>
      <c r="CN60" s="185">
        <f>CN61</f>
        <v>150596</v>
      </c>
      <c r="CO60" s="139">
        <f>CO61</f>
        <v>17</v>
      </c>
      <c r="CP60" s="140">
        <v>2249.79</v>
      </c>
      <c r="CQ60" s="139">
        <f t="shared" si="35"/>
        <v>38246.43</v>
      </c>
      <c r="CR60" s="139">
        <f>CR61</f>
        <v>340</v>
      </c>
      <c r="CS60" s="140">
        <v>445.51</v>
      </c>
      <c r="CT60" s="139">
        <f t="shared" si="54"/>
        <v>151473.4</v>
      </c>
      <c r="CU60" s="139">
        <f>CU61</f>
        <v>31</v>
      </c>
      <c r="CV60" s="140">
        <v>2249.79</v>
      </c>
      <c r="CW60" s="139">
        <f t="shared" si="36"/>
        <v>69743.490000000005</v>
      </c>
      <c r="CX60" s="139">
        <v>0</v>
      </c>
      <c r="CY60" s="140">
        <v>2249.79</v>
      </c>
      <c r="CZ60" s="139">
        <f t="shared" si="37"/>
        <v>0</v>
      </c>
      <c r="DA60" s="139">
        <v>0</v>
      </c>
      <c r="DB60" s="140">
        <v>464.26</v>
      </c>
      <c r="DC60" s="139">
        <f t="shared" si="38"/>
        <v>0</v>
      </c>
      <c r="DD60" s="139">
        <v>0</v>
      </c>
      <c r="DE60" s="140">
        <v>2249.79</v>
      </c>
      <c r="DF60" s="139">
        <f t="shared" si="39"/>
        <v>0</v>
      </c>
      <c r="DG60" s="139">
        <v>0</v>
      </c>
      <c r="DH60" s="140">
        <v>2249.79</v>
      </c>
      <c r="DI60" s="139">
        <f t="shared" si="40"/>
        <v>0</v>
      </c>
      <c r="DJ60" s="139">
        <v>0</v>
      </c>
      <c r="DK60" s="139">
        <v>504.26</v>
      </c>
      <c r="DL60" s="139">
        <f t="shared" si="41"/>
        <v>0</v>
      </c>
      <c r="DM60" s="139">
        <v>0</v>
      </c>
      <c r="DN60" s="140">
        <v>2249.79</v>
      </c>
      <c r="DO60" s="205">
        <f t="shared" si="42"/>
        <v>0</v>
      </c>
      <c r="DP60" s="197"/>
    </row>
    <row r="61" spans="1:120" ht="38.25" x14ac:dyDescent="0.25">
      <c r="A61" s="17" t="s">
        <v>83</v>
      </c>
      <c r="B61" s="9"/>
      <c r="C61" s="19" t="s">
        <v>84</v>
      </c>
      <c r="D61" s="9"/>
      <c r="E61" s="10"/>
      <c r="F61" s="11"/>
      <c r="G61" s="7"/>
      <c r="H61" s="10"/>
      <c r="I61" s="7"/>
      <c r="J61" s="10"/>
      <c r="K61" s="7">
        <v>2179</v>
      </c>
      <c r="L61" s="241">
        <v>299.54000000000002</v>
      </c>
      <c r="M61" s="187">
        <f>K61*L61</f>
        <v>652697.66</v>
      </c>
      <c r="N61" s="7"/>
      <c r="O61" s="7">
        <f>K61*58%</f>
        <v>1263.82</v>
      </c>
      <c r="P61" s="7"/>
      <c r="Q61" s="7"/>
      <c r="R61" s="188"/>
      <c r="S61" s="7"/>
      <c r="T61" s="7"/>
      <c r="U61" s="7"/>
      <c r="V61" s="7"/>
      <c r="W61" s="7">
        <f t="shared" si="8"/>
        <v>152.53</v>
      </c>
      <c r="X61" s="247">
        <v>14</v>
      </c>
      <c r="Y61" s="187">
        <f t="shared" si="9"/>
        <v>2135.42</v>
      </c>
      <c r="Z61" s="9"/>
      <c r="AA61" s="9"/>
      <c r="AB61" s="9"/>
      <c r="AC61" s="10"/>
      <c r="AD61" s="11"/>
      <c r="AE61" s="7"/>
      <c r="AF61" s="10"/>
      <c r="AG61" s="18"/>
      <c r="AH61" s="10"/>
      <c r="AI61" s="7">
        <f>AI60</f>
        <v>450</v>
      </c>
      <c r="AJ61" s="250">
        <v>299.14</v>
      </c>
      <c r="AK61" s="187">
        <f>AI61*AJ61</f>
        <v>134613</v>
      </c>
      <c r="AL61" s="7"/>
      <c r="AM61" s="7">
        <f>AI61*66%</f>
        <v>297</v>
      </c>
      <c r="AN61" s="7"/>
      <c r="AO61" s="18"/>
      <c r="AP61" s="10"/>
      <c r="AQ61" s="7"/>
      <c r="AR61" s="7"/>
      <c r="AS61" s="7"/>
      <c r="AT61" s="7"/>
      <c r="AU61" s="12"/>
      <c r="AV61" s="12"/>
      <c r="AW61" s="10"/>
      <c r="AX61" s="11"/>
      <c r="AY61" s="7"/>
      <c r="AZ61" s="10"/>
      <c r="BA61" s="11"/>
      <c r="BB61" s="10"/>
      <c r="BC61" s="7">
        <f>BC60</f>
        <v>487.2</v>
      </c>
      <c r="BD61" s="247">
        <v>272.26</v>
      </c>
      <c r="BE61" s="187">
        <f>BC61*BD61</f>
        <v>132645.07199999999</v>
      </c>
      <c r="BF61" s="7"/>
      <c r="BG61" s="7">
        <f>BC61*69%</f>
        <v>336.16799999999995</v>
      </c>
      <c r="BH61" s="7"/>
      <c r="BI61" s="11"/>
      <c r="BJ61" s="10"/>
      <c r="BK61" s="7"/>
      <c r="BL61" s="7"/>
      <c r="BM61" s="7"/>
      <c r="BN61" s="7"/>
      <c r="BO61" s="11"/>
      <c r="BP61" s="11"/>
      <c r="BQ61" s="11"/>
      <c r="BR61" s="11"/>
      <c r="BS61" s="11"/>
      <c r="BT61" s="7"/>
      <c r="BU61" s="11"/>
      <c r="BV61" s="11"/>
      <c r="BW61" s="11"/>
      <c r="BX61" s="7">
        <f>BX60</f>
        <v>13.200000000000001</v>
      </c>
      <c r="BY61" s="247">
        <v>385.36</v>
      </c>
      <c r="BZ61" s="187">
        <f>BX61*BY61</f>
        <v>5086.7520000000004</v>
      </c>
      <c r="CA61" s="7"/>
      <c r="CB61" s="7">
        <f>BX61*69%</f>
        <v>9.1080000000000005</v>
      </c>
      <c r="CC61" s="7"/>
      <c r="CD61" s="11"/>
      <c r="CE61" s="7"/>
      <c r="CF61" s="7"/>
      <c r="CG61" s="7"/>
      <c r="CH61" s="7"/>
      <c r="CI61" s="13">
        <v>0</v>
      </c>
      <c r="CJ61" s="189">
        <v>0</v>
      </c>
      <c r="CK61" s="13">
        <f t="shared" si="64"/>
        <v>0</v>
      </c>
      <c r="CL61" s="13"/>
      <c r="CM61" s="13">
        <v>1440</v>
      </c>
      <c r="CN61" s="14">
        <v>150596</v>
      </c>
      <c r="CO61" s="13">
        <v>17</v>
      </c>
      <c r="CP61" s="189">
        <v>2249.79</v>
      </c>
      <c r="CQ61" s="13">
        <f t="shared" si="35"/>
        <v>38246.43</v>
      </c>
      <c r="CR61" s="13">
        <v>340</v>
      </c>
      <c r="CS61" s="189">
        <v>445.51</v>
      </c>
      <c r="CT61" s="13">
        <f t="shared" si="54"/>
        <v>151473.4</v>
      </c>
      <c r="CU61" s="13">
        <v>31</v>
      </c>
      <c r="CV61" s="189">
        <v>2249.79</v>
      </c>
      <c r="CW61" s="13">
        <f t="shared" si="36"/>
        <v>69743.490000000005</v>
      </c>
      <c r="CX61" s="13">
        <v>0</v>
      </c>
      <c r="CY61" s="189">
        <v>2249.79</v>
      </c>
      <c r="CZ61" s="13">
        <f t="shared" si="37"/>
        <v>0</v>
      </c>
      <c r="DA61" s="13">
        <v>0</v>
      </c>
      <c r="DB61" s="189">
        <v>464.26</v>
      </c>
      <c r="DC61" s="13">
        <f t="shared" si="38"/>
        <v>0</v>
      </c>
      <c r="DD61" s="13">
        <v>0</v>
      </c>
      <c r="DE61" s="189">
        <v>2249.79</v>
      </c>
      <c r="DF61" s="13">
        <f t="shared" si="39"/>
        <v>0</v>
      </c>
      <c r="DG61" s="13">
        <v>0</v>
      </c>
      <c r="DH61" s="189">
        <v>2249.79</v>
      </c>
      <c r="DI61" s="13">
        <f t="shared" si="40"/>
        <v>0</v>
      </c>
      <c r="DJ61" s="13">
        <v>0</v>
      </c>
      <c r="DK61" s="13">
        <v>504.26</v>
      </c>
      <c r="DL61" s="13">
        <f t="shared" si="41"/>
        <v>0</v>
      </c>
      <c r="DM61" s="13">
        <v>0</v>
      </c>
      <c r="DN61" s="189">
        <v>2249.79</v>
      </c>
      <c r="DO61" s="16">
        <f t="shared" si="42"/>
        <v>0</v>
      </c>
      <c r="DP61" s="196"/>
    </row>
    <row r="62" spans="1:120" s="143" customFormat="1" x14ac:dyDescent="0.25">
      <c r="A62" s="218" t="s">
        <v>85</v>
      </c>
      <c r="B62" s="112">
        <v>5216</v>
      </c>
      <c r="C62" s="220"/>
      <c r="D62" s="112">
        <v>12200</v>
      </c>
      <c r="E62" s="113">
        <f t="shared" si="74"/>
        <v>0.4275409836065574</v>
      </c>
      <c r="F62" s="114">
        <v>2</v>
      </c>
      <c r="G62" s="115">
        <f>$B62*$G$98/$B$95</f>
        <v>4194.8344510434536</v>
      </c>
      <c r="H62" s="113">
        <f t="shared" si="0"/>
        <v>0.34383888942979129</v>
      </c>
      <c r="I62" s="115">
        <f>D62*52%</f>
        <v>6344</v>
      </c>
      <c r="J62" s="113">
        <f t="shared" si="1"/>
        <v>0.52</v>
      </c>
      <c r="K62" s="115">
        <f t="shared" si="43"/>
        <v>4821.4400000000005</v>
      </c>
      <c r="L62" s="241">
        <v>299.54000000000002</v>
      </c>
      <c r="M62" s="119">
        <f t="shared" si="2"/>
        <v>1444214.1376000002</v>
      </c>
      <c r="N62" s="115">
        <f t="shared" si="3"/>
        <v>5075.2000000000007</v>
      </c>
      <c r="O62" s="115">
        <f t="shared" si="44"/>
        <v>2796.4351999999999</v>
      </c>
      <c r="P62" s="115">
        <f t="shared" si="45"/>
        <v>4631.12</v>
      </c>
      <c r="Q62" s="115">
        <f>$D62*67%</f>
        <v>8174.0000000000009</v>
      </c>
      <c r="R62" s="116">
        <f t="shared" si="4"/>
        <v>0.67</v>
      </c>
      <c r="S62" s="115">
        <f t="shared" si="5"/>
        <v>6212.2400000000007</v>
      </c>
      <c r="T62" s="115">
        <f t="shared" si="6"/>
        <v>6539.2000000000007</v>
      </c>
      <c r="U62" s="115">
        <f t="shared" si="46"/>
        <v>3603.0992000000001</v>
      </c>
      <c r="V62" s="115">
        <f t="shared" si="7"/>
        <v>5967.02</v>
      </c>
      <c r="W62" s="115">
        <f t="shared" si="8"/>
        <v>337.50080000000008</v>
      </c>
      <c r="X62" s="246">
        <v>14</v>
      </c>
      <c r="Y62" s="119">
        <f t="shared" si="9"/>
        <v>4725.0112000000008</v>
      </c>
      <c r="Z62" s="112">
        <v>1196</v>
      </c>
      <c r="AA62" s="112"/>
      <c r="AB62" s="112">
        <v>1600</v>
      </c>
      <c r="AC62" s="113">
        <f t="shared" si="10"/>
        <v>0.74750000000000005</v>
      </c>
      <c r="AD62" s="114">
        <v>2</v>
      </c>
      <c r="AE62" s="115">
        <f>$AB62*60%</f>
        <v>960</v>
      </c>
      <c r="AF62" s="113">
        <f t="shared" si="11"/>
        <v>0.6</v>
      </c>
      <c r="AG62" s="117">
        <f>AE62</f>
        <v>960</v>
      </c>
      <c r="AH62" s="113">
        <f t="shared" si="12"/>
        <v>0.6</v>
      </c>
      <c r="AI62" s="115">
        <f t="shared" si="47"/>
        <v>720</v>
      </c>
      <c r="AJ62" s="250">
        <v>299.14</v>
      </c>
      <c r="AK62" s="119">
        <f t="shared" si="13"/>
        <v>215380.8</v>
      </c>
      <c r="AL62" s="115">
        <f t="shared" si="14"/>
        <v>777.6</v>
      </c>
      <c r="AM62" s="115">
        <f t="shared" si="15"/>
        <v>475.20000000000005</v>
      </c>
      <c r="AN62" s="115">
        <f t="shared" si="16"/>
        <v>816</v>
      </c>
      <c r="AO62" s="117">
        <f>AB62*61%</f>
        <v>976</v>
      </c>
      <c r="AP62" s="113">
        <f t="shared" si="18"/>
        <v>0.61</v>
      </c>
      <c r="AQ62" s="115">
        <f t="shared" si="48"/>
        <v>732</v>
      </c>
      <c r="AR62" s="115">
        <f t="shared" si="49"/>
        <v>790.56000000000006</v>
      </c>
      <c r="AS62" s="115">
        <f t="shared" si="19"/>
        <v>497.76000000000005</v>
      </c>
      <c r="AT62" s="115">
        <f t="shared" si="20"/>
        <v>858.88</v>
      </c>
      <c r="AU62" s="118">
        <v>464</v>
      </c>
      <c r="AV62" s="118">
        <v>2700</v>
      </c>
      <c r="AW62" s="113">
        <f t="shared" si="21"/>
        <v>0.17185185185185184</v>
      </c>
      <c r="AX62" s="114">
        <v>2</v>
      </c>
      <c r="AY62" s="115">
        <f>AV62*17%</f>
        <v>459.00000000000006</v>
      </c>
      <c r="AZ62" s="113">
        <f t="shared" si="22"/>
        <v>0.17</v>
      </c>
      <c r="BA62" s="114">
        <v>475</v>
      </c>
      <c r="BB62" s="113">
        <f t="shared" si="23"/>
        <v>0.17592592592592593</v>
      </c>
      <c r="BC62" s="115">
        <f t="shared" si="50"/>
        <v>332.5</v>
      </c>
      <c r="BD62" s="247">
        <v>272.26</v>
      </c>
      <c r="BE62" s="119">
        <f t="shared" si="24"/>
        <v>90526.45</v>
      </c>
      <c r="BF62" s="115">
        <f t="shared" si="51"/>
        <v>342</v>
      </c>
      <c r="BG62" s="115">
        <f t="shared" si="25"/>
        <v>229.42499999999998</v>
      </c>
      <c r="BH62" s="115">
        <f t="shared" si="26"/>
        <v>394.25</v>
      </c>
      <c r="BI62" s="114">
        <f>BA62</f>
        <v>475</v>
      </c>
      <c r="BJ62" s="113">
        <f t="shared" si="27"/>
        <v>0.17592592592592593</v>
      </c>
      <c r="BK62" s="115">
        <f t="shared" si="52"/>
        <v>337.25</v>
      </c>
      <c r="BL62" s="115">
        <f t="shared" si="53"/>
        <v>342</v>
      </c>
      <c r="BM62" s="115">
        <f t="shared" si="75"/>
        <v>232.70249999999999</v>
      </c>
      <c r="BN62" s="115">
        <f t="shared" si="29"/>
        <v>394.25</v>
      </c>
      <c r="BO62" s="114"/>
      <c r="BP62" s="114"/>
      <c r="BQ62" s="114"/>
      <c r="BR62" s="114"/>
      <c r="BS62" s="114">
        <f>1300*1%</f>
        <v>13</v>
      </c>
      <c r="BT62" s="114"/>
      <c r="BU62" s="114"/>
      <c r="BV62" s="114"/>
      <c r="BW62" s="114"/>
      <c r="BX62" s="115">
        <v>0</v>
      </c>
      <c r="BY62" s="247">
        <v>385.36</v>
      </c>
      <c r="BZ62" s="119">
        <f t="shared" si="30"/>
        <v>0</v>
      </c>
      <c r="CA62" s="115"/>
      <c r="CB62" s="115">
        <v>0</v>
      </c>
      <c r="CC62" s="115"/>
      <c r="CD62" s="114"/>
      <c r="CE62" s="115"/>
      <c r="CF62" s="115"/>
      <c r="CG62" s="115"/>
      <c r="CH62" s="115"/>
      <c r="CI62" s="139">
        <v>0</v>
      </c>
      <c r="CJ62" s="140">
        <v>0</v>
      </c>
      <c r="CK62" s="139">
        <f t="shared" si="64"/>
        <v>0</v>
      </c>
      <c r="CL62" s="139" t="s">
        <v>136</v>
      </c>
      <c r="CM62" s="139">
        <v>1440</v>
      </c>
      <c r="CN62" s="185">
        <v>177116</v>
      </c>
      <c r="CO62" s="139">
        <v>0</v>
      </c>
      <c r="CP62" s="140">
        <v>2249.79</v>
      </c>
      <c r="CQ62" s="139">
        <f t="shared" si="35"/>
        <v>0</v>
      </c>
      <c r="CR62" s="139">
        <v>0</v>
      </c>
      <c r="CS62" s="140">
        <v>445.51</v>
      </c>
      <c r="CT62" s="139">
        <f t="shared" si="54"/>
        <v>0</v>
      </c>
      <c r="CU62" s="139">
        <v>0</v>
      </c>
      <c r="CV62" s="140">
        <v>2249.79</v>
      </c>
      <c r="CW62" s="139">
        <f t="shared" si="36"/>
        <v>0</v>
      </c>
      <c r="CX62" s="139">
        <v>0</v>
      </c>
      <c r="CY62" s="140">
        <v>2249.79</v>
      </c>
      <c r="CZ62" s="139">
        <f t="shared" si="37"/>
        <v>0</v>
      </c>
      <c r="DA62" s="139">
        <v>0</v>
      </c>
      <c r="DB62" s="140">
        <v>464.26</v>
      </c>
      <c r="DC62" s="139">
        <f t="shared" si="38"/>
        <v>0</v>
      </c>
      <c r="DD62" s="139">
        <v>0</v>
      </c>
      <c r="DE62" s="140">
        <v>2249.79</v>
      </c>
      <c r="DF62" s="139">
        <f t="shared" si="39"/>
        <v>0</v>
      </c>
      <c r="DG62" s="139">
        <v>0</v>
      </c>
      <c r="DH62" s="140">
        <v>2249.79</v>
      </c>
      <c r="DI62" s="139">
        <f t="shared" si="40"/>
        <v>0</v>
      </c>
      <c r="DJ62" s="139">
        <v>0</v>
      </c>
      <c r="DK62" s="139">
        <v>504.26</v>
      </c>
      <c r="DL62" s="139">
        <f t="shared" si="41"/>
        <v>0</v>
      </c>
      <c r="DM62" s="139">
        <v>0</v>
      </c>
      <c r="DN62" s="140">
        <v>2249.79</v>
      </c>
      <c r="DO62" s="205">
        <f t="shared" si="42"/>
        <v>0</v>
      </c>
      <c r="DP62" s="197"/>
    </row>
    <row r="63" spans="1:120" s="143" customFormat="1" x14ac:dyDescent="0.25">
      <c r="A63" s="218" t="s">
        <v>86</v>
      </c>
      <c r="B63" s="112">
        <v>1243</v>
      </c>
      <c r="C63" s="220"/>
      <c r="D63" s="112">
        <v>4000</v>
      </c>
      <c r="E63" s="113">
        <f t="shared" si="74"/>
        <v>0.31075000000000003</v>
      </c>
      <c r="F63" s="114">
        <v>3</v>
      </c>
      <c r="G63" s="115">
        <f>$B63*$G$98/$B$95</f>
        <v>999.65092458723404</v>
      </c>
      <c r="H63" s="113">
        <f t="shared" si="0"/>
        <v>0.24991273114680851</v>
      </c>
      <c r="I63" s="115">
        <f>D63*52%</f>
        <v>2080</v>
      </c>
      <c r="J63" s="113">
        <f t="shared" si="1"/>
        <v>0.52</v>
      </c>
      <c r="K63" s="115">
        <f t="shared" si="43"/>
        <v>1580.8</v>
      </c>
      <c r="L63" s="241">
        <v>299.54000000000002</v>
      </c>
      <c r="M63" s="119">
        <f t="shared" si="2"/>
        <v>473512.83199999999</v>
      </c>
      <c r="N63" s="115">
        <f t="shared" si="3"/>
        <v>1664</v>
      </c>
      <c r="O63" s="115">
        <f t="shared" si="44"/>
        <v>916.86399999999992</v>
      </c>
      <c r="P63" s="115">
        <f t="shared" si="45"/>
        <v>1518.3999999999999</v>
      </c>
      <c r="Q63" s="115">
        <f>D63*67%</f>
        <v>2680</v>
      </c>
      <c r="R63" s="116">
        <f t="shared" si="4"/>
        <v>0.67</v>
      </c>
      <c r="S63" s="115">
        <f t="shared" si="5"/>
        <v>2036.8</v>
      </c>
      <c r="T63" s="115">
        <f t="shared" si="6"/>
        <v>2144</v>
      </c>
      <c r="U63" s="115">
        <f t="shared" si="46"/>
        <v>1181.3439999999998</v>
      </c>
      <c r="V63" s="115">
        <f t="shared" si="7"/>
        <v>1956.3999999999999</v>
      </c>
      <c r="W63" s="115">
        <f t="shared" si="8"/>
        <v>110.65600000000001</v>
      </c>
      <c r="X63" s="246">
        <v>14</v>
      </c>
      <c r="Y63" s="119">
        <f t="shared" si="9"/>
        <v>1549.1840000000002</v>
      </c>
      <c r="Z63" s="112">
        <v>414</v>
      </c>
      <c r="AA63" s="112"/>
      <c r="AB63" s="112">
        <v>700</v>
      </c>
      <c r="AC63" s="113">
        <f t="shared" si="10"/>
        <v>0.59142857142857141</v>
      </c>
      <c r="AD63" s="114">
        <v>1</v>
      </c>
      <c r="AE63" s="115">
        <f>$Z63</f>
        <v>414</v>
      </c>
      <c r="AF63" s="113">
        <f t="shared" si="11"/>
        <v>0.59142857142857141</v>
      </c>
      <c r="AG63" s="117">
        <f>AE63</f>
        <v>414</v>
      </c>
      <c r="AH63" s="113">
        <f t="shared" si="12"/>
        <v>0.59142857142857141</v>
      </c>
      <c r="AI63" s="115">
        <f t="shared" si="47"/>
        <v>310.5</v>
      </c>
      <c r="AJ63" s="250">
        <v>299.14</v>
      </c>
      <c r="AK63" s="119">
        <f t="shared" si="13"/>
        <v>92882.97</v>
      </c>
      <c r="AL63" s="115">
        <f t="shared" si="14"/>
        <v>335.34000000000003</v>
      </c>
      <c r="AM63" s="115">
        <f t="shared" si="15"/>
        <v>204.93</v>
      </c>
      <c r="AN63" s="115">
        <f t="shared" si="16"/>
        <v>351.9</v>
      </c>
      <c r="AO63" s="117">
        <f>AB63*61%</f>
        <v>427</v>
      </c>
      <c r="AP63" s="113">
        <f t="shared" si="18"/>
        <v>0.61</v>
      </c>
      <c r="AQ63" s="115">
        <f t="shared" si="48"/>
        <v>320.25</v>
      </c>
      <c r="AR63" s="115">
        <f t="shared" si="49"/>
        <v>345.87</v>
      </c>
      <c r="AS63" s="115">
        <f t="shared" si="19"/>
        <v>217.77</v>
      </c>
      <c r="AT63" s="115">
        <f t="shared" si="20"/>
        <v>375.76</v>
      </c>
      <c r="AU63" s="118">
        <v>526</v>
      </c>
      <c r="AV63" s="118">
        <v>1900</v>
      </c>
      <c r="AW63" s="113">
        <f t="shared" si="21"/>
        <v>0.27684210526315789</v>
      </c>
      <c r="AX63" s="114">
        <v>4</v>
      </c>
      <c r="AY63" s="115">
        <f>AV63*28%</f>
        <v>532</v>
      </c>
      <c r="AZ63" s="113">
        <f t="shared" si="22"/>
        <v>0.28000000000000003</v>
      </c>
      <c r="BA63" s="114">
        <f>AV63*28%</f>
        <v>532</v>
      </c>
      <c r="BB63" s="113">
        <f t="shared" si="23"/>
        <v>0.28000000000000003</v>
      </c>
      <c r="BC63" s="115">
        <f t="shared" si="50"/>
        <v>372.4</v>
      </c>
      <c r="BD63" s="247">
        <v>272.26</v>
      </c>
      <c r="BE63" s="119">
        <f t="shared" si="24"/>
        <v>101389.624</v>
      </c>
      <c r="BF63" s="115">
        <f t="shared" si="51"/>
        <v>383.03999999999996</v>
      </c>
      <c r="BG63" s="115">
        <f t="shared" si="25"/>
        <v>256.95599999999996</v>
      </c>
      <c r="BH63" s="115">
        <f t="shared" si="26"/>
        <v>441.56</v>
      </c>
      <c r="BI63" s="114">
        <f>AV63*28%</f>
        <v>532</v>
      </c>
      <c r="BJ63" s="113">
        <f t="shared" si="27"/>
        <v>0.28000000000000003</v>
      </c>
      <c r="BK63" s="115">
        <f t="shared" si="52"/>
        <v>377.71999999999997</v>
      </c>
      <c r="BL63" s="115">
        <f t="shared" si="53"/>
        <v>383.03999999999996</v>
      </c>
      <c r="BM63" s="115">
        <f t="shared" si="75"/>
        <v>260.62679999999995</v>
      </c>
      <c r="BN63" s="115">
        <f t="shared" si="29"/>
        <v>441.56</v>
      </c>
      <c r="BO63" s="114"/>
      <c r="BP63" s="114"/>
      <c r="BQ63" s="114"/>
      <c r="BR63" s="114">
        <v>30</v>
      </c>
      <c r="BS63" s="114">
        <f>1000*11.2%</f>
        <v>111.99999999999999</v>
      </c>
      <c r="BT63" s="114">
        <f>900*6%</f>
        <v>54</v>
      </c>
      <c r="BU63" s="114">
        <v>30</v>
      </c>
      <c r="BV63" s="114">
        <v>35</v>
      </c>
      <c r="BW63" s="114">
        <v>30</v>
      </c>
      <c r="BX63" s="115">
        <f t="shared" si="63"/>
        <v>19.8</v>
      </c>
      <c r="BY63" s="247">
        <v>385.36</v>
      </c>
      <c r="BZ63" s="119">
        <f t="shared" si="30"/>
        <v>7630.1280000000006</v>
      </c>
      <c r="CA63" s="115">
        <f t="shared" si="55"/>
        <v>21.599999999999998</v>
      </c>
      <c r="CB63" s="115">
        <f t="shared" si="76"/>
        <v>13.661999999999999</v>
      </c>
      <c r="CC63" s="115">
        <f t="shared" si="32"/>
        <v>24.9</v>
      </c>
      <c r="CD63" s="114">
        <f t="shared" si="66"/>
        <v>48</v>
      </c>
      <c r="CE63" s="115">
        <f t="shared" si="56"/>
        <v>31.68</v>
      </c>
      <c r="CF63" s="115">
        <f t="shared" ref="CF63:CF85" si="78">CD63*72%</f>
        <v>34.56</v>
      </c>
      <c r="CG63" s="115">
        <f t="shared" si="77"/>
        <v>21.859199999999998</v>
      </c>
      <c r="CH63" s="115">
        <f t="shared" si="34"/>
        <v>39.839999999999996</v>
      </c>
      <c r="CI63" s="139">
        <v>0</v>
      </c>
      <c r="CJ63" s="140">
        <v>0</v>
      </c>
      <c r="CK63" s="139">
        <f t="shared" si="64"/>
        <v>0</v>
      </c>
      <c r="CL63" s="139" t="s">
        <v>135</v>
      </c>
      <c r="CM63" s="139">
        <v>1440</v>
      </c>
      <c r="CN63" s="185">
        <v>150596</v>
      </c>
      <c r="CO63" s="139">
        <v>0</v>
      </c>
      <c r="CP63" s="140">
        <v>2249.79</v>
      </c>
      <c r="CQ63" s="139">
        <f t="shared" si="35"/>
        <v>0</v>
      </c>
      <c r="CR63" s="139">
        <v>0</v>
      </c>
      <c r="CS63" s="140">
        <v>445.51</v>
      </c>
      <c r="CT63" s="139">
        <f t="shared" si="54"/>
        <v>0</v>
      </c>
      <c r="CU63" s="139">
        <v>0</v>
      </c>
      <c r="CV63" s="140">
        <v>2249.79</v>
      </c>
      <c r="CW63" s="139">
        <f t="shared" si="36"/>
        <v>0</v>
      </c>
      <c r="CX63" s="139">
        <v>0</v>
      </c>
      <c r="CY63" s="140">
        <v>2249.79</v>
      </c>
      <c r="CZ63" s="139">
        <f t="shared" si="37"/>
        <v>0</v>
      </c>
      <c r="DA63" s="139">
        <v>0</v>
      </c>
      <c r="DB63" s="140">
        <v>464.26</v>
      </c>
      <c r="DC63" s="139">
        <f t="shared" si="38"/>
        <v>0</v>
      </c>
      <c r="DD63" s="139">
        <v>0</v>
      </c>
      <c r="DE63" s="140">
        <v>2249.79</v>
      </c>
      <c r="DF63" s="139">
        <f t="shared" si="39"/>
        <v>0</v>
      </c>
      <c r="DG63" s="139">
        <v>0</v>
      </c>
      <c r="DH63" s="140">
        <v>2249.79</v>
      </c>
      <c r="DI63" s="139">
        <f t="shared" si="40"/>
        <v>0</v>
      </c>
      <c r="DJ63" s="139">
        <v>0</v>
      </c>
      <c r="DK63" s="139">
        <v>504.26</v>
      </c>
      <c r="DL63" s="139">
        <f t="shared" si="41"/>
        <v>0</v>
      </c>
      <c r="DM63" s="139">
        <v>0</v>
      </c>
      <c r="DN63" s="140">
        <v>2249.79</v>
      </c>
      <c r="DO63" s="205">
        <f t="shared" si="42"/>
        <v>0</v>
      </c>
      <c r="DP63" s="197"/>
    </row>
    <row r="64" spans="1:120" s="144" customFormat="1" ht="38.25" x14ac:dyDescent="0.25">
      <c r="A64" s="17" t="s">
        <v>86</v>
      </c>
      <c r="B64" s="9"/>
      <c r="C64" s="19" t="s">
        <v>87</v>
      </c>
      <c r="D64" s="9"/>
      <c r="E64" s="10"/>
      <c r="F64" s="11"/>
      <c r="G64" s="7"/>
      <c r="H64" s="10"/>
      <c r="I64" s="7"/>
      <c r="J64" s="10"/>
      <c r="K64" s="7">
        <v>1581</v>
      </c>
      <c r="L64" s="241">
        <v>299.54000000000002</v>
      </c>
      <c r="M64" s="187">
        <f>K64*L64</f>
        <v>473572.74000000005</v>
      </c>
      <c r="N64" s="7"/>
      <c r="O64" s="7">
        <f>K64*58%</f>
        <v>916.9799999999999</v>
      </c>
      <c r="P64" s="7"/>
      <c r="Q64" s="7"/>
      <c r="R64" s="188"/>
      <c r="S64" s="7"/>
      <c r="T64" s="7"/>
      <c r="U64" s="7"/>
      <c r="V64" s="7"/>
      <c r="W64" s="7">
        <f t="shared" si="8"/>
        <v>110.67000000000002</v>
      </c>
      <c r="X64" s="247">
        <v>14</v>
      </c>
      <c r="Y64" s="187">
        <f t="shared" si="9"/>
        <v>1549.38</v>
      </c>
      <c r="Z64" s="9"/>
      <c r="AA64" s="9"/>
      <c r="AB64" s="9"/>
      <c r="AC64" s="10"/>
      <c r="AD64" s="11"/>
      <c r="AE64" s="7"/>
      <c r="AF64" s="10"/>
      <c r="AG64" s="18"/>
      <c r="AH64" s="10"/>
      <c r="AI64" s="7">
        <f>AI63</f>
        <v>310.5</v>
      </c>
      <c r="AJ64" s="250">
        <v>299.14</v>
      </c>
      <c r="AK64" s="187">
        <f>AI64*AJ64</f>
        <v>92882.97</v>
      </c>
      <c r="AL64" s="7"/>
      <c r="AM64" s="7">
        <f>AI64*66%</f>
        <v>204.93</v>
      </c>
      <c r="AN64" s="7"/>
      <c r="AO64" s="18"/>
      <c r="AP64" s="10"/>
      <c r="AQ64" s="7"/>
      <c r="AR64" s="7"/>
      <c r="AS64" s="7"/>
      <c r="AT64" s="7"/>
      <c r="AU64" s="12"/>
      <c r="AV64" s="12"/>
      <c r="AW64" s="10"/>
      <c r="AX64" s="11"/>
      <c r="AY64" s="7"/>
      <c r="AZ64" s="10"/>
      <c r="BA64" s="11"/>
      <c r="BB64" s="10"/>
      <c r="BC64" s="7">
        <f>BC63</f>
        <v>372.4</v>
      </c>
      <c r="BD64" s="247">
        <v>272.26</v>
      </c>
      <c r="BE64" s="187">
        <f>BC64*BD64</f>
        <v>101389.624</v>
      </c>
      <c r="BF64" s="7"/>
      <c r="BG64" s="7">
        <f>BC64*69%</f>
        <v>256.95599999999996</v>
      </c>
      <c r="BH64" s="7"/>
      <c r="BI64" s="11"/>
      <c r="BJ64" s="10"/>
      <c r="BK64" s="7"/>
      <c r="BL64" s="7"/>
      <c r="BM64" s="7"/>
      <c r="BN64" s="7"/>
      <c r="BO64" s="11"/>
      <c r="BP64" s="11"/>
      <c r="BQ64" s="11"/>
      <c r="BR64" s="11"/>
      <c r="BS64" s="11"/>
      <c r="BT64" s="11"/>
      <c r="BU64" s="11"/>
      <c r="BV64" s="11"/>
      <c r="BW64" s="11"/>
      <c r="BX64" s="7">
        <f>BX63</f>
        <v>19.8</v>
      </c>
      <c r="BY64" s="247">
        <v>385.36</v>
      </c>
      <c r="BZ64" s="187">
        <f>BX64*BY64</f>
        <v>7630.1280000000006</v>
      </c>
      <c r="CA64" s="7"/>
      <c r="CB64" s="7">
        <f>BX64*69%</f>
        <v>13.661999999999999</v>
      </c>
      <c r="CC64" s="7"/>
      <c r="CD64" s="11"/>
      <c r="CE64" s="7"/>
      <c r="CF64" s="7"/>
      <c r="CG64" s="7"/>
      <c r="CH64" s="7"/>
      <c r="CI64" s="13">
        <v>0</v>
      </c>
      <c r="CJ64" s="189">
        <v>0</v>
      </c>
      <c r="CK64" s="13">
        <f t="shared" si="64"/>
        <v>0</v>
      </c>
      <c r="CL64" s="13" t="str">
        <f>CL68</f>
        <v>Івеко</v>
      </c>
      <c r="CM64" s="13">
        <v>1440</v>
      </c>
      <c r="CN64" s="14">
        <v>150596</v>
      </c>
      <c r="CO64" s="13">
        <v>0</v>
      </c>
      <c r="CP64" s="189">
        <v>2249.79</v>
      </c>
      <c r="CQ64" s="13">
        <f t="shared" si="35"/>
        <v>0</v>
      </c>
      <c r="CR64" s="13">
        <v>0</v>
      </c>
      <c r="CS64" s="189">
        <v>445.51</v>
      </c>
      <c r="CT64" s="13">
        <f t="shared" si="54"/>
        <v>0</v>
      </c>
      <c r="CU64" s="13">
        <v>0</v>
      </c>
      <c r="CV64" s="189">
        <v>2249.79</v>
      </c>
      <c r="CW64" s="13">
        <f t="shared" si="36"/>
        <v>0</v>
      </c>
      <c r="CX64" s="13">
        <v>0</v>
      </c>
      <c r="CY64" s="189">
        <v>2249.79</v>
      </c>
      <c r="CZ64" s="13">
        <f t="shared" si="37"/>
        <v>0</v>
      </c>
      <c r="DA64" s="13">
        <v>0</v>
      </c>
      <c r="DB64" s="189">
        <v>464.26</v>
      </c>
      <c r="DC64" s="13">
        <f t="shared" si="38"/>
        <v>0</v>
      </c>
      <c r="DD64" s="13">
        <v>0</v>
      </c>
      <c r="DE64" s="189">
        <v>2249.79</v>
      </c>
      <c r="DF64" s="13">
        <f t="shared" si="39"/>
        <v>0</v>
      </c>
      <c r="DG64" s="13">
        <v>0</v>
      </c>
      <c r="DH64" s="189">
        <v>2249.79</v>
      </c>
      <c r="DI64" s="13">
        <f t="shared" si="40"/>
        <v>0</v>
      </c>
      <c r="DJ64" s="13">
        <v>0</v>
      </c>
      <c r="DK64" s="13">
        <v>504.26</v>
      </c>
      <c r="DL64" s="13">
        <f t="shared" si="41"/>
        <v>0</v>
      </c>
      <c r="DM64" s="13">
        <v>0</v>
      </c>
      <c r="DN64" s="189">
        <v>2249.79</v>
      </c>
      <c r="DO64" s="16">
        <f t="shared" si="42"/>
        <v>0</v>
      </c>
      <c r="DP64" s="198"/>
    </row>
    <row r="65" spans="1:120" s="143" customFormat="1" x14ac:dyDescent="0.25">
      <c r="A65" s="218" t="s">
        <v>88</v>
      </c>
      <c r="B65" s="112">
        <v>12688</v>
      </c>
      <c r="C65" s="220"/>
      <c r="D65" s="112">
        <v>15300</v>
      </c>
      <c r="E65" s="113">
        <f t="shared" si="74"/>
        <v>0.82928104575163397</v>
      </c>
      <c r="F65" s="114">
        <v>10</v>
      </c>
      <c r="G65" s="115">
        <f>$B65*$G$98/$B$95</f>
        <v>10203.999140114904</v>
      </c>
      <c r="H65" s="113">
        <f t="shared" si="0"/>
        <v>0.66692804837352315</v>
      </c>
      <c r="I65" s="115">
        <f>D65*67%</f>
        <v>10251</v>
      </c>
      <c r="J65" s="113">
        <f t="shared" si="1"/>
        <v>0.67</v>
      </c>
      <c r="K65" s="115">
        <f>I65*76%</f>
        <v>7790.76</v>
      </c>
      <c r="L65" s="241">
        <v>299.54000000000002</v>
      </c>
      <c r="M65" s="119">
        <f>K65*L65</f>
        <v>2333644.2504000003</v>
      </c>
      <c r="N65" s="115">
        <f t="shared" si="3"/>
        <v>8200.8000000000011</v>
      </c>
      <c r="O65" s="115">
        <f t="shared" si="44"/>
        <v>4518.6408000000001</v>
      </c>
      <c r="P65" s="115">
        <f t="shared" si="45"/>
        <v>7483.23</v>
      </c>
      <c r="Q65" s="115">
        <f>D65*75%</f>
        <v>11475</v>
      </c>
      <c r="R65" s="116">
        <f t="shared" si="4"/>
        <v>0.75</v>
      </c>
      <c r="S65" s="115">
        <f t="shared" si="5"/>
        <v>8721</v>
      </c>
      <c r="T65" s="115">
        <f t="shared" si="6"/>
        <v>9180</v>
      </c>
      <c r="U65" s="115">
        <f t="shared" si="46"/>
        <v>5058.1799999999994</v>
      </c>
      <c r="V65" s="115">
        <f t="shared" si="7"/>
        <v>8376.75</v>
      </c>
      <c r="W65" s="115">
        <f t="shared" si="8"/>
        <v>545.35320000000002</v>
      </c>
      <c r="X65" s="246">
        <v>14</v>
      </c>
      <c r="Y65" s="119">
        <f t="shared" si="9"/>
        <v>7634.9448000000002</v>
      </c>
      <c r="Z65" s="112">
        <v>3388</v>
      </c>
      <c r="AA65" s="112"/>
      <c r="AB65" s="112">
        <v>4900</v>
      </c>
      <c r="AC65" s="113">
        <f t="shared" si="10"/>
        <v>0.69142857142857139</v>
      </c>
      <c r="AD65" s="114">
        <v>8</v>
      </c>
      <c r="AE65" s="115">
        <f>$AB65*65.3%</f>
        <v>3199.7000000000003</v>
      </c>
      <c r="AF65" s="113">
        <f t="shared" si="11"/>
        <v>0.65300000000000002</v>
      </c>
      <c r="AG65" s="117">
        <f>AE65</f>
        <v>3199.7000000000003</v>
      </c>
      <c r="AH65" s="113">
        <f t="shared" si="12"/>
        <v>0.65300000000000002</v>
      </c>
      <c r="AI65" s="115">
        <f>AG65*75%</f>
        <v>2399.7750000000001</v>
      </c>
      <c r="AJ65" s="250">
        <v>299.14</v>
      </c>
      <c r="AK65" s="119">
        <f>AI65*AJ65</f>
        <v>717868.69350000005</v>
      </c>
      <c r="AL65" s="115">
        <f t="shared" si="14"/>
        <v>2591.7570000000005</v>
      </c>
      <c r="AM65" s="115">
        <f t="shared" si="15"/>
        <v>1583.8515000000002</v>
      </c>
      <c r="AN65" s="115">
        <f t="shared" si="16"/>
        <v>2719.7450000000003</v>
      </c>
      <c r="AO65" s="117">
        <f>AG65</f>
        <v>3199.7000000000003</v>
      </c>
      <c r="AP65" s="113">
        <f t="shared" si="18"/>
        <v>0.65300000000000002</v>
      </c>
      <c r="AQ65" s="115">
        <f t="shared" si="48"/>
        <v>2399.7750000000001</v>
      </c>
      <c r="AR65" s="115">
        <f t="shared" si="49"/>
        <v>2591.7570000000005</v>
      </c>
      <c r="AS65" s="115">
        <f t="shared" si="19"/>
        <v>1631.8470000000002</v>
      </c>
      <c r="AT65" s="115">
        <f t="shared" si="20"/>
        <v>2815.7360000000003</v>
      </c>
      <c r="AU65" s="118">
        <v>1992</v>
      </c>
      <c r="AV65" s="118">
        <v>12400</v>
      </c>
      <c r="AW65" s="113">
        <f t="shared" si="21"/>
        <v>0.16064516129032258</v>
      </c>
      <c r="AX65" s="114">
        <v>10</v>
      </c>
      <c r="AY65" s="115">
        <v>3044</v>
      </c>
      <c r="AZ65" s="113">
        <f t="shared" si="22"/>
        <v>0.24548387096774194</v>
      </c>
      <c r="BA65" s="114">
        <f>AV65*31%</f>
        <v>3844</v>
      </c>
      <c r="BB65" s="113">
        <f t="shared" si="23"/>
        <v>0.31</v>
      </c>
      <c r="BC65" s="115">
        <f>BA65*70%</f>
        <v>2690.7999999999997</v>
      </c>
      <c r="BD65" s="247">
        <v>272.26</v>
      </c>
      <c r="BE65" s="119">
        <f>BC65*BD65</f>
        <v>732597.20799999987</v>
      </c>
      <c r="BF65" s="115">
        <f t="shared" si="51"/>
        <v>2767.68</v>
      </c>
      <c r="BG65" s="115">
        <f t="shared" si="25"/>
        <v>1856.6519999999996</v>
      </c>
      <c r="BH65" s="115">
        <f t="shared" si="26"/>
        <v>3190.52</v>
      </c>
      <c r="BI65" s="114">
        <f>AV65*33%</f>
        <v>4092</v>
      </c>
      <c r="BJ65" s="113">
        <f t="shared" si="27"/>
        <v>0.33</v>
      </c>
      <c r="BK65" s="115">
        <f t="shared" si="52"/>
        <v>2905.3199999999997</v>
      </c>
      <c r="BL65" s="115">
        <f t="shared" si="53"/>
        <v>2946.24</v>
      </c>
      <c r="BM65" s="115">
        <f t="shared" si="75"/>
        <v>2004.6707999999996</v>
      </c>
      <c r="BN65" s="115">
        <f t="shared" si="29"/>
        <v>3396.3599999999997</v>
      </c>
      <c r="BO65" s="114"/>
      <c r="BP65" s="114"/>
      <c r="BQ65" s="114"/>
      <c r="BR65" s="114">
        <v>28</v>
      </c>
      <c r="BS65" s="114">
        <f>10400*1%</f>
        <v>104</v>
      </c>
      <c r="BT65" s="115">
        <f>9200*2.7%</f>
        <v>248.40000000000003</v>
      </c>
      <c r="BU65" s="114">
        <v>50</v>
      </c>
      <c r="BV65" s="114">
        <v>40</v>
      </c>
      <c r="BW65" s="114">
        <v>100</v>
      </c>
      <c r="BX65" s="115">
        <f>BW65*66%</f>
        <v>66</v>
      </c>
      <c r="BY65" s="247">
        <v>385.36</v>
      </c>
      <c r="BZ65" s="119">
        <f>BX65*BY65</f>
        <v>25433.760000000002</v>
      </c>
      <c r="CA65" s="115">
        <f t="shared" si="55"/>
        <v>72</v>
      </c>
      <c r="CB65" s="115">
        <f t="shared" si="76"/>
        <v>45.54</v>
      </c>
      <c r="CC65" s="115">
        <f t="shared" si="32"/>
        <v>83</v>
      </c>
      <c r="CD65" s="114">
        <f t="shared" si="66"/>
        <v>160</v>
      </c>
      <c r="CE65" s="115">
        <f t="shared" si="56"/>
        <v>105.60000000000001</v>
      </c>
      <c r="CF65" s="115">
        <f t="shared" si="78"/>
        <v>115.19999999999999</v>
      </c>
      <c r="CG65" s="115">
        <f t="shared" si="77"/>
        <v>72.864000000000004</v>
      </c>
      <c r="CH65" s="115">
        <f t="shared" si="34"/>
        <v>132.79999999999998</v>
      </c>
      <c r="CI65" s="139">
        <v>350</v>
      </c>
      <c r="CJ65" s="140">
        <v>1351</v>
      </c>
      <c r="CK65" s="139">
        <f>CJ65*CI65</f>
        <v>472850</v>
      </c>
      <c r="CL65" s="139" t="s">
        <v>159</v>
      </c>
      <c r="CM65" s="139">
        <v>1440</v>
      </c>
      <c r="CN65" s="185">
        <f>CN67+CN68</f>
        <v>327712</v>
      </c>
      <c r="CO65" s="139">
        <v>104</v>
      </c>
      <c r="CP65" s="140">
        <v>2249.79</v>
      </c>
      <c r="CQ65" s="139">
        <f t="shared" si="35"/>
        <v>233978.16</v>
      </c>
      <c r="CR65" s="139">
        <v>1550</v>
      </c>
      <c r="CS65" s="140">
        <v>445.51</v>
      </c>
      <c r="CT65" s="139">
        <f t="shared" si="54"/>
        <v>690540.5</v>
      </c>
      <c r="CU65" s="139">
        <v>137</v>
      </c>
      <c r="CV65" s="140">
        <v>2249.79</v>
      </c>
      <c r="CW65" s="139">
        <f t="shared" si="36"/>
        <v>308221.23</v>
      </c>
      <c r="CX65" s="139">
        <v>0</v>
      </c>
      <c r="CY65" s="140">
        <v>2249.79</v>
      </c>
      <c r="CZ65" s="139">
        <f t="shared" si="37"/>
        <v>0</v>
      </c>
      <c r="DA65" s="139">
        <v>70</v>
      </c>
      <c r="DB65" s="140">
        <v>464.26</v>
      </c>
      <c r="DC65" s="139">
        <f t="shared" si="38"/>
        <v>32498.2</v>
      </c>
      <c r="DD65" s="139">
        <v>3</v>
      </c>
      <c r="DE65" s="140">
        <v>2249.79</v>
      </c>
      <c r="DF65" s="139">
        <f t="shared" si="39"/>
        <v>6749.37</v>
      </c>
      <c r="DG65" s="139">
        <v>7</v>
      </c>
      <c r="DH65" s="140">
        <v>2249.79</v>
      </c>
      <c r="DI65" s="139">
        <f t="shared" si="40"/>
        <v>15748.529999999999</v>
      </c>
      <c r="DJ65" s="139">
        <v>0</v>
      </c>
      <c r="DK65" s="139">
        <v>504.26</v>
      </c>
      <c r="DL65" s="139">
        <f t="shared" si="41"/>
        <v>0</v>
      </c>
      <c r="DM65" s="139">
        <v>0</v>
      </c>
      <c r="DN65" s="145">
        <v>2249.79</v>
      </c>
      <c r="DO65" s="205">
        <f t="shared" si="42"/>
        <v>0</v>
      </c>
      <c r="DP65" s="197"/>
    </row>
    <row r="66" spans="1:120" ht="38.25" x14ac:dyDescent="0.25">
      <c r="A66" s="17" t="s">
        <v>88</v>
      </c>
      <c r="B66" s="9"/>
      <c r="C66" s="19" t="s">
        <v>89</v>
      </c>
      <c r="D66" s="9"/>
      <c r="E66" s="10"/>
      <c r="F66" s="11"/>
      <c r="G66" s="7"/>
      <c r="H66" s="10"/>
      <c r="I66" s="7"/>
      <c r="J66" s="10"/>
      <c r="K66" s="7">
        <v>1374.3010584084673</v>
      </c>
      <c r="L66" s="241">
        <v>299.54000000000002</v>
      </c>
      <c r="M66" s="187">
        <f>K66*L66</f>
        <v>411658.1390356723</v>
      </c>
      <c r="N66" s="7"/>
      <c r="O66" s="7">
        <f>K66*58%</f>
        <v>797.09461387691101</v>
      </c>
      <c r="P66" s="7"/>
      <c r="Q66" s="7"/>
      <c r="R66" s="188"/>
      <c r="S66" s="7"/>
      <c r="T66" s="7"/>
      <c r="U66" s="7"/>
      <c r="V66" s="7"/>
      <c r="W66" s="7">
        <f t="shared" si="8"/>
        <v>96.201074088592719</v>
      </c>
      <c r="X66" s="247">
        <v>14</v>
      </c>
      <c r="Y66" s="187">
        <f t="shared" si="9"/>
        <v>1346.8150372402981</v>
      </c>
      <c r="Z66" s="9"/>
      <c r="AA66" s="9"/>
      <c r="AB66" s="9"/>
      <c r="AC66" s="10"/>
      <c r="AD66" s="11"/>
      <c r="AE66" s="7"/>
      <c r="AF66" s="10"/>
      <c r="AG66" s="18"/>
      <c r="AH66" s="10"/>
      <c r="AI66" s="7">
        <v>0</v>
      </c>
      <c r="AJ66" s="250">
        <v>299.14</v>
      </c>
      <c r="AK66" s="187">
        <v>0</v>
      </c>
      <c r="AL66" s="7"/>
      <c r="AM66" s="7">
        <v>0</v>
      </c>
      <c r="AN66" s="7"/>
      <c r="AO66" s="18"/>
      <c r="AP66" s="10"/>
      <c r="AQ66" s="7"/>
      <c r="AR66" s="7"/>
      <c r="AS66" s="7"/>
      <c r="AT66" s="7"/>
      <c r="AU66" s="12"/>
      <c r="AV66" s="12"/>
      <c r="AW66" s="10"/>
      <c r="AX66" s="11"/>
      <c r="AY66" s="7"/>
      <c r="AZ66" s="10"/>
      <c r="BA66" s="11"/>
      <c r="BB66" s="10"/>
      <c r="BC66" s="7">
        <v>0</v>
      </c>
      <c r="BD66" s="247">
        <v>272.26</v>
      </c>
      <c r="BE66" s="187">
        <v>0</v>
      </c>
      <c r="BF66" s="7"/>
      <c r="BG66" s="7">
        <v>0</v>
      </c>
      <c r="BH66" s="7"/>
      <c r="BI66" s="11"/>
      <c r="BJ66" s="10"/>
      <c r="BK66" s="7"/>
      <c r="BL66" s="7"/>
      <c r="BM66" s="7"/>
      <c r="BN66" s="7"/>
      <c r="BO66" s="11"/>
      <c r="BP66" s="11"/>
      <c r="BQ66" s="11"/>
      <c r="BR66" s="11"/>
      <c r="BS66" s="11"/>
      <c r="BT66" s="7"/>
      <c r="BU66" s="11"/>
      <c r="BV66" s="11"/>
      <c r="BW66" s="11"/>
      <c r="BX66" s="7">
        <v>0</v>
      </c>
      <c r="BY66" s="247">
        <v>0</v>
      </c>
      <c r="BZ66" s="187">
        <v>0</v>
      </c>
      <c r="CA66" s="7"/>
      <c r="CB66" s="7">
        <v>0</v>
      </c>
      <c r="CC66" s="7"/>
      <c r="CD66" s="11"/>
      <c r="CE66" s="7"/>
      <c r="CF66" s="7"/>
      <c r="CG66" s="7"/>
      <c r="CH66" s="7"/>
      <c r="CI66" s="13">
        <v>0</v>
      </c>
      <c r="CJ66" s="189">
        <v>0</v>
      </c>
      <c r="CK66" s="13">
        <f t="shared" si="64"/>
        <v>0</v>
      </c>
      <c r="CL66" s="13"/>
      <c r="CM66" s="13">
        <v>0</v>
      </c>
      <c r="CN66" s="14">
        <v>0</v>
      </c>
      <c r="CO66" s="13">
        <v>30</v>
      </c>
      <c r="CP66" s="189">
        <v>2249.79</v>
      </c>
      <c r="CQ66" s="13">
        <f t="shared" si="35"/>
        <v>67493.7</v>
      </c>
      <c r="CR66" s="13">
        <v>400</v>
      </c>
      <c r="CS66" s="189">
        <v>445.51</v>
      </c>
      <c r="CT66" s="13">
        <f t="shared" si="54"/>
        <v>178204</v>
      </c>
      <c r="CU66" s="13">
        <v>40</v>
      </c>
      <c r="CV66" s="189">
        <v>2249.79</v>
      </c>
      <c r="CW66" s="13">
        <f t="shared" si="36"/>
        <v>89991.6</v>
      </c>
      <c r="CX66" s="13">
        <v>0</v>
      </c>
      <c r="CY66" s="189">
        <v>2249.79</v>
      </c>
      <c r="CZ66" s="13">
        <f t="shared" si="37"/>
        <v>0</v>
      </c>
      <c r="DA66" s="13">
        <v>0</v>
      </c>
      <c r="DB66" s="189">
        <v>464.26</v>
      </c>
      <c r="DC66" s="13">
        <f t="shared" si="38"/>
        <v>0</v>
      </c>
      <c r="DD66" s="13">
        <v>0</v>
      </c>
      <c r="DE66" s="189">
        <v>2249.79</v>
      </c>
      <c r="DF66" s="13">
        <f t="shared" si="39"/>
        <v>0</v>
      </c>
      <c r="DG66" s="13">
        <v>0</v>
      </c>
      <c r="DH66" s="189">
        <v>2249.79</v>
      </c>
      <c r="DI66" s="13">
        <f t="shared" si="40"/>
        <v>0</v>
      </c>
      <c r="DJ66" s="13">
        <v>0</v>
      </c>
      <c r="DK66" s="13">
        <v>504.26</v>
      </c>
      <c r="DL66" s="13">
        <f t="shared" si="41"/>
        <v>0</v>
      </c>
      <c r="DM66" s="13">
        <v>0</v>
      </c>
      <c r="DN66" s="192">
        <v>2249.79</v>
      </c>
      <c r="DO66" s="16">
        <f t="shared" si="42"/>
        <v>0</v>
      </c>
      <c r="DP66" s="196"/>
    </row>
    <row r="67" spans="1:120" ht="38.25" x14ac:dyDescent="0.25">
      <c r="A67" s="17" t="s">
        <v>88</v>
      </c>
      <c r="B67" s="9"/>
      <c r="C67" s="19" t="s">
        <v>90</v>
      </c>
      <c r="D67" s="9"/>
      <c r="E67" s="10"/>
      <c r="F67" s="11"/>
      <c r="G67" s="7"/>
      <c r="H67" s="10"/>
      <c r="I67" s="7"/>
      <c r="J67" s="10"/>
      <c r="K67" s="7">
        <v>1679.701293610349</v>
      </c>
      <c r="L67" s="241">
        <v>299.54000000000002</v>
      </c>
      <c r="M67" s="187">
        <f>K67*L67</f>
        <v>503137.72548804397</v>
      </c>
      <c r="N67" s="7"/>
      <c r="O67" s="7">
        <f>K67*58%</f>
        <v>974.22675029400239</v>
      </c>
      <c r="P67" s="7"/>
      <c r="Q67" s="7"/>
      <c r="R67" s="188"/>
      <c r="S67" s="7"/>
      <c r="T67" s="7"/>
      <c r="U67" s="7"/>
      <c r="V67" s="7"/>
      <c r="W67" s="7">
        <f t="shared" si="8"/>
        <v>117.57909055272444</v>
      </c>
      <c r="X67" s="247">
        <v>14</v>
      </c>
      <c r="Y67" s="187">
        <f t="shared" si="9"/>
        <v>1646.1072677381421</v>
      </c>
      <c r="Z67" s="9"/>
      <c r="AA67" s="9"/>
      <c r="AB67" s="9"/>
      <c r="AC67" s="10"/>
      <c r="AD67" s="11"/>
      <c r="AE67" s="7"/>
      <c r="AF67" s="10"/>
      <c r="AG67" s="18"/>
      <c r="AH67" s="10"/>
      <c r="AI67" s="7">
        <f>AI65</f>
        <v>2399.7750000000001</v>
      </c>
      <c r="AJ67" s="250">
        <v>299.14</v>
      </c>
      <c r="AK67" s="187">
        <v>717532.72499999998</v>
      </c>
      <c r="AL67" s="7">
        <v>1583.8515000000002</v>
      </c>
      <c r="AM67" s="7">
        <f>AI67*66%</f>
        <v>1583.8515000000002</v>
      </c>
      <c r="AN67" s="7"/>
      <c r="AO67" s="18"/>
      <c r="AP67" s="10"/>
      <c r="AQ67" s="7"/>
      <c r="AR67" s="7"/>
      <c r="AS67" s="7"/>
      <c r="AT67" s="7"/>
      <c r="AU67" s="12"/>
      <c r="AV67" s="12"/>
      <c r="AW67" s="10"/>
      <c r="AX67" s="11"/>
      <c r="AY67" s="7"/>
      <c r="AZ67" s="10"/>
      <c r="BA67" s="11"/>
      <c r="BB67" s="10"/>
      <c r="BC67" s="7">
        <f>BC65</f>
        <v>2690.7999999999997</v>
      </c>
      <c r="BD67" s="247">
        <v>272.26</v>
      </c>
      <c r="BE67" s="187">
        <v>731897.6</v>
      </c>
      <c r="BF67" s="7">
        <v>1856.6519999999996</v>
      </c>
      <c r="BG67" s="7">
        <f>BC67*69%</f>
        <v>1856.6519999999996</v>
      </c>
      <c r="BH67" s="7"/>
      <c r="BI67" s="11"/>
      <c r="BJ67" s="10"/>
      <c r="BK67" s="7"/>
      <c r="BL67" s="7"/>
      <c r="BM67" s="7"/>
      <c r="BN67" s="7"/>
      <c r="BO67" s="11"/>
      <c r="BP67" s="11"/>
      <c r="BQ67" s="11"/>
      <c r="BR67" s="11"/>
      <c r="BS67" s="11"/>
      <c r="BT67" s="7"/>
      <c r="BU67" s="11"/>
      <c r="BV67" s="11"/>
      <c r="BW67" s="11"/>
      <c r="BX67" s="7">
        <f>BX65</f>
        <v>66</v>
      </c>
      <c r="BY67" s="247">
        <v>385.36</v>
      </c>
      <c r="BZ67" s="187">
        <v>25410</v>
      </c>
      <c r="CA67" s="7">
        <v>45.54</v>
      </c>
      <c r="CB67" s="7">
        <f>BX67*69%</f>
        <v>45.54</v>
      </c>
      <c r="CC67" s="7"/>
      <c r="CD67" s="11"/>
      <c r="CE67" s="7"/>
      <c r="CF67" s="7"/>
      <c r="CG67" s="7"/>
      <c r="CH67" s="7"/>
      <c r="CI67" s="13">
        <v>0</v>
      </c>
      <c r="CJ67" s="189">
        <v>0</v>
      </c>
      <c r="CK67" s="13">
        <f t="shared" si="64"/>
        <v>0</v>
      </c>
      <c r="CL67" s="13" t="s">
        <v>136</v>
      </c>
      <c r="CM67" s="13">
        <v>1440</v>
      </c>
      <c r="CN67" s="14">
        <v>177116</v>
      </c>
      <c r="CO67" s="13">
        <v>30</v>
      </c>
      <c r="CP67" s="189">
        <v>2249.79</v>
      </c>
      <c r="CQ67" s="13">
        <f t="shared" si="35"/>
        <v>67493.7</v>
      </c>
      <c r="CR67" s="13">
        <v>350</v>
      </c>
      <c r="CS67" s="189">
        <v>445.51</v>
      </c>
      <c r="CT67" s="13">
        <f t="shared" si="54"/>
        <v>155928.5</v>
      </c>
      <c r="CU67" s="13">
        <v>25</v>
      </c>
      <c r="CV67" s="189">
        <v>2249.79</v>
      </c>
      <c r="CW67" s="13">
        <f t="shared" si="36"/>
        <v>56244.75</v>
      </c>
      <c r="CX67" s="13">
        <v>0</v>
      </c>
      <c r="CY67" s="189">
        <v>2249.79</v>
      </c>
      <c r="CZ67" s="13">
        <f t="shared" si="37"/>
        <v>0</v>
      </c>
      <c r="DA67" s="13">
        <v>70</v>
      </c>
      <c r="DB67" s="189">
        <v>464.26</v>
      </c>
      <c r="DC67" s="13">
        <f t="shared" si="38"/>
        <v>32498.2</v>
      </c>
      <c r="DD67" s="13">
        <v>3</v>
      </c>
      <c r="DE67" s="189">
        <v>2249.79</v>
      </c>
      <c r="DF67" s="13">
        <f t="shared" si="39"/>
        <v>6749.37</v>
      </c>
      <c r="DG67" s="13">
        <v>7</v>
      </c>
      <c r="DH67" s="189">
        <v>2249.79</v>
      </c>
      <c r="DI67" s="13">
        <f t="shared" si="40"/>
        <v>15748.529999999999</v>
      </c>
      <c r="DJ67" s="13">
        <v>0</v>
      </c>
      <c r="DK67" s="13">
        <v>504.26</v>
      </c>
      <c r="DL67" s="13">
        <f t="shared" si="41"/>
        <v>0</v>
      </c>
      <c r="DM67" s="13">
        <v>0</v>
      </c>
      <c r="DN67" s="192">
        <v>2249.79</v>
      </c>
      <c r="DO67" s="16">
        <f t="shared" si="42"/>
        <v>0</v>
      </c>
      <c r="DP67" s="196"/>
    </row>
    <row r="68" spans="1:120" ht="38.25" x14ac:dyDescent="0.25">
      <c r="A68" s="17" t="s">
        <v>88</v>
      </c>
      <c r="B68" s="9"/>
      <c r="C68" s="19" t="s">
        <v>91</v>
      </c>
      <c r="D68" s="9"/>
      <c r="E68" s="10"/>
      <c r="F68" s="11"/>
      <c r="G68" s="7"/>
      <c r="H68" s="10"/>
      <c r="I68" s="7"/>
      <c r="J68" s="10"/>
      <c r="K68" s="7">
        <v>4736.7576479811842</v>
      </c>
      <c r="L68" s="241">
        <v>299.54000000000002</v>
      </c>
      <c r="M68" s="187">
        <f>K68*L68</f>
        <v>1418848.385876284</v>
      </c>
      <c r="N68" s="7"/>
      <c r="O68" s="7">
        <f>K68*58%</f>
        <v>2747.3194358290866</v>
      </c>
      <c r="P68" s="7"/>
      <c r="Q68" s="7"/>
      <c r="R68" s="188"/>
      <c r="S68" s="7"/>
      <c r="T68" s="7"/>
      <c r="U68" s="7"/>
      <c r="V68" s="7"/>
      <c r="W68" s="7">
        <f t="shared" ref="W68:W90" si="79">K68*7%</f>
        <v>331.57303535868294</v>
      </c>
      <c r="X68" s="247">
        <v>14</v>
      </c>
      <c r="Y68" s="187">
        <f t="shared" ref="Y68:Y90" si="80">W68*X68</f>
        <v>4642.0224950215616</v>
      </c>
      <c r="Z68" s="9"/>
      <c r="AA68" s="9"/>
      <c r="AB68" s="9"/>
      <c r="AC68" s="10"/>
      <c r="AD68" s="11"/>
      <c r="AE68" s="7"/>
      <c r="AF68" s="10"/>
      <c r="AG68" s="18"/>
      <c r="AH68" s="10"/>
      <c r="AI68" s="7">
        <v>0</v>
      </c>
      <c r="AJ68" s="250">
        <v>299.14</v>
      </c>
      <c r="AK68" s="187">
        <v>0</v>
      </c>
      <c r="AL68" s="7"/>
      <c r="AM68" s="7">
        <v>0</v>
      </c>
      <c r="AN68" s="7"/>
      <c r="AO68" s="18"/>
      <c r="AP68" s="10"/>
      <c r="AQ68" s="7"/>
      <c r="AR68" s="7"/>
      <c r="AS68" s="7"/>
      <c r="AT68" s="7"/>
      <c r="AU68" s="12"/>
      <c r="AV68" s="12"/>
      <c r="AW68" s="10"/>
      <c r="AX68" s="11"/>
      <c r="AY68" s="7"/>
      <c r="AZ68" s="10"/>
      <c r="BA68" s="11"/>
      <c r="BB68" s="10"/>
      <c r="BC68" s="7">
        <v>0</v>
      </c>
      <c r="BD68" s="247">
        <v>272.26</v>
      </c>
      <c r="BE68" s="187">
        <v>0</v>
      </c>
      <c r="BF68" s="7"/>
      <c r="BG68" s="7">
        <v>0</v>
      </c>
      <c r="BH68" s="7"/>
      <c r="BI68" s="11"/>
      <c r="BJ68" s="10"/>
      <c r="BK68" s="7"/>
      <c r="BL68" s="7"/>
      <c r="BM68" s="7"/>
      <c r="BN68" s="7"/>
      <c r="BO68" s="11"/>
      <c r="BP68" s="11"/>
      <c r="BQ68" s="11"/>
      <c r="BR68" s="11"/>
      <c r="BS68" s="11"/>
      <c r="BT68" s="7"/>
      <c r="BU68" s="11"/>
      <c r="BV68" s="11"/>
      <c r="BW68" s="11"/>
      <c r="BX68" s="7">
        <v>0</v>
      </c>
      <c r="BY68" s="247">
        <v>0</v>
      </c>
      <c r="BZ68" s="187">
        <v>0</v>
      </c>
      <c r="CA68" s="7"/>
      <c r="CB68" s="7">
        <v>0</v>
      </c>
      <c r="CC68" s="7"/>
      <c r="CD68" s="11"/>
      <c r="CE68" s="7"/>
      <c r="CF68" s="7"/>
      <c r="CG68" s="7"/>
      <c r="CH68" s="7"/>
      <c r="CI68" s="13">
        <v>0</v>
      </c>
      <c r="CJ68" s="189">
        <v>0</v>
      </c>
      <c r="CK68" s="13">
        <f t="shared" si="64"/>
        <v>0</v>
      </c>
      <c r="CL68" s="13" t="s">
        <v>135</v>
      </c>
      <c r="CM68" s="13">
        <v>1440</v>
      </c>
      <c r="CN68" s="14">
        <v>150596</v>
      </c>
      <c r="CO68" s="13">
        <v>44</v>
      </c>
      <c r="CP68" s="189">
        <v>2249.79</v>
      </c>
      <c r="CQ68" s="13">
        <f t="shared" si="35"/>
        <v>98990.76</v>
      </c>
      <c r="CR68" s="13">
        <v>800</v>
      </c>
      <c r="CS68" s="189">
        <v>445.51</v>
      </c>
      <c r="CT68" s="13">
        <f t="shared" si="54"/>
        <v>356408</v>
      </c>
      <c r="CU68" s="13">
        <v>72</v>
      </c>
      <c r="CV68" s="189">
        <v>2249.79</v>
      </c>
      <c r="CW68" s="13">
        <f t="shared" si="36"/>
        <v>161984.88</v>
      </c>
      <c r="CX68" s="13">
        <v>0</v>
      </c>
      <c r="CY68" s="189">
        <v>2249.79</v>
      </c>
      <c r="CZ68" s="13">
        <f t="shared" si="37"/>
        <v>0</v>
      </c>
      <c r="DA68" s="13">
        <v>0</v>
      </c>
      <c r="DB68" s="189">
        <v>464.26</v>
      </c>
      <c r="DC68" s="13">
        <f t="shared" si="38"/>
        <v>0</v>
      </c>
      <c r="DD68" s="13">
        <v>0</v>
      </c>
      <c r="DE68" s="189">
        <v>2249.79</v>
      </c>
      <c r="DF68" s="13">
        <f t="shared" si="39"/>
        <v>0</v>
      </c>
      <c r="DG68" s="13">
        <v>0</v>
      </c>
      <c r="DH68" s="189">
        <v>2249.79</v>
      </c>
      <c r="DI68" s="13">
        <f t="shared" si="40"/>
        <v>0</v>
      </c>
      <c r="DJ68" s="13">
        <v>0</v>
      </c>
      <c r="DK68" s="13">
        <v>504.26</v>
      </c>
      <c r="DL68" s="13">
        <f t="shared" si="41"/>
        <v>0</v>
      </c>
      <c r="DM68" s="13">
        <v>0</v>
      </c>
      <c r="DN68" s="192">
        <v>2249.79</v>
      </c>
      <c r="DO68" s="16">
        <f t="shared" si="42"/>
        <v>0</v>
      </c>
      <c r="DP68" s="196"/>
    </row>
    <row r="69" spans="1:120" s="143" customFormat="1" x14ac:dyDescent="0.25">
      <c r="A69" s="218" t="s">
        <v>92</v>
      </c>
      <c r="B69" s="112">
        <v>5515</v>
      </c>
      <c r="C69" s="220"/>
      <c r="D69" s="112">
        <v>9800</v>
      </c>
      <c r="E69" s="113">
        <f t="shared" si="74"/>
        <v>0.56275510204081636</v>
      </c>
      <c r="F69" s="114">
        <v>1</v>
      </c>
      <c r="G69" s="115">
        <f>$B69*$G$98/$B$95</f>
        <v>4435.2975455338665</v>
      </c>
      <c r="H69" s="113">
        <f t="shared" si="0"/>
        <v>0.45258138219733329</v>
      </c>
      <c r="I69" s="115">
        <f>D69*52%</f>
        <v>5096</v>
      </c>
      <c r="J69" s="113">
        <f t="shared" si="1"/>
        <v>0.52</v>
      </c>
      <c r="K69" s="115">
        <f t="shared" si="43"/>
        <v>3872.96</v>
      </c>
      <c r="L69" s="241">
        <v>299.54000000000002</v>
      </c>
      <c r="M69" s="119">
        <f t="shared" si="2"/>
        <v>1160106.4384000001</v>
      </c>
      <c r="N69" s="115">
        <f t="shared" si="3"/>
        <v>4076.8</v>
      </c>
      <c r="O69" s="115">
        <f t="shared" si="44"/>
        <v>2246.3168000000001</v>
      </c>
      <c r="P69" s="115">
        <f t="shared" si="45"/>
        <v>3720.08</v>
      </c>
      <c r="Q69" s="115">
        <f>D69*67%</f>
        <v>6566</v>
      </c>
      <c r="R69" s="116">
        <f t="shared" si="4"/>
        <v>0.67</v>
      </c>
      <c r="S69" s="115">
        <f t="shared" si="5"/>
        <v>4990.16</v>
      </c>
      <c r="T69" s="115">
        <f t="shared" si="6"/>
        <v>5252.8</v>
      </c>
      <c r="U69" s="115">
        <f t="shared" si="46"/>
        <v>2894.2927999999997</v>
      </c>
      <c r="V69" s="115">
        <f t="shared" si="7"/>
        <v>4793.18</v>
      </c>
      <c r="W69" s="115">
        <f t="shared" si="79"/>
        <v>271.10720000000003</v>
      </c>
      <c r="X69" s="246">
        <v>14</v>
      </c>
      <c r="Y69" s="119">
        <f t="shared" si="80"/>
        <v>3795.5008000000007</v>
      </c>
      <c r="Z69" s="112">
        <v>515</v>
      </c>
      <c r="AA69" s="112"/>
      <c r="AB69" s="112">
        <v>1200</v>
      </c>
      <c r="AC69" s="113">
        <f t="shared" si="10"/>
        <v>0.42916666666666664</v>
      </c>
      <c r="AD69" s="114">
        <v>0</v>
      </c>
      <c r="AE69" s="115">
        <f>$Z69</f>
        <v>515</v>
      </c>
      <c r="AF69" s="113">
        <f t="shared" si="11"/>
        <v>0.42916666666666664</v>
      </c>
      <c r="AG69" s="117">
        <f>AB69*50%</f>
        <v>600</v>
      </c>
      <c r="AH69" s="113">
        <f t="shared" si="12"/>
        <v>0.5</v>
      </c>
      <c r="AI69" s="115">
        <f t="shared" si="47"/>
        <v>450</v>
      </c>
      <c r="AJ69" s="250">
        <v>299.14</v>
      </c>
      <c r="AK69" s="119">
        <f t="shared" si="13"/>
        <v>134613</v>
      </c>
      <c r="AL69" s="115">
        <f t="shared" si="14"/>
        <v>486.00000000000006</v>
      </c>
      <c r="AM69" s="115">
        <f t="shared" si="15"/>
        <v>297</v>
      </c>
      <c r="AN69" s="115">
        <f t="shared" si="16"/>
        <v>510</v>
      </c>
      <c r="AO69" s="117">
        <f>AB69*61%</f>
        <v>732</v>
      </c>
      <c r="AP69" s="113">
        <f t="shared" si="18"/>
        <v>0.61</v>
      </c>
      <c r="AQ69" s="115">
        <f t="shared" si="48"/>
        <v>549</v>
      </c>
      <c r="AR69" s="115">
        <f t="shared" si="49"/>
        <v>592.92000000000007</v>
      </c>
      <c r="AS69" s="115">
        <f t="shared" si="19"/>
        <v>373.32000000000005</v>
      </c>
      <c r="AT69" s="115">
        <f t="shared" si="20"/>
        <v>644.16</v>
      </c>
      <c r="AU69" s="118">
        <v>891</v>
      </c>
      <c r="AV69" s="118">
        <v>3000</v>
      </c>
      <c r="AW69" s="113">
        <f t="shared" si="21"/>
        <v>0.29699999999999999</v>
      </c>
      <c r="AX69" s="114">
        <v>2</v>
      </c>
      <c r="AY69" s="115">
        <f>AV69*30%</f>
        <v>900</v>
      </c>
      <c r="AZ69" s="113">
        <f t="shared" si="22"/>
        <v>0.3</v>
      </c>
      <c r="BA69" s="114">
        <f>AV69*30%</f>
        <v>900</v>
      </c>
      <c r="BB69" s="113">
        <f t="shared" si="23"/>
        <v>0.3</v>
      </c>
      <c r="BC69" s="115">
        <f t="shared" si="50"/>
        <v>630</v>
      </c>
      <c r="BD69" s="247">
        <v>272.26</v>
      </c>
      <c r="BE69" s="119">
        <f t="shared" si="24"/>
        <v>171523.8</v>
      </c>
      <c r="BF69" s="115">
        <f t="shared" si="51"/>
        <v>648</v>
      </c>
      <c r="BG69" s="115">
        <f t="shared" si="25"/>
        <v>434.7</v>
      </c>
      <c r="BH69" s="115">
        <f t="shared" si="26"/>
        <v>747</v>
      </c>
      <c r="BI69" s="114">
        <f>BA69</f>
        <v>900</v>
      </c>
      <c r="BJ69" s="113">
        <f t="shared" si="27"/>
        <v>0.3</v>
      </c>
      <c r="BK69" s="115">
        <f t="shared" si="52"/>
        <v>639</v>
      </c>
      <c r="BL69" s="115">
        <f t="shared" si="53"/>
        <v>648</v>
      </c>
      <c r="BM69" s="115">
        <f t="shared" si="75"/>
        <v>440.90999999999997</v>
      </c>
      <c r="BN69" s="115">
        <f t="shared" si="29"/>
        <v>747</v>
      </c>
      <c r="BO69" s="114">
        <v>1</v>
      </c>
      <c r="BP69" s="114">
        <v>1</v>
      </c>
      <c r="BQ69" s="114"/>
      <c r="BR69" s="114">
        <v>19</v>
      </c>
      <c r="BS69" s="114">
        <f>1600*3%</f>
        <v>48</v>
      </c>
      <c r="BT69" s="114">
        <f>1400*2%</f>
        <v>28</v>
      </c>
      <c r="BU69" s="114">
        <v>10</v>
      </c>
      <c r="BV69" s="114">
        <v>35</v>
      </c>
      <c r="BW69" s="114">
        <v>20</v>
      </c>
      <c r="BX69" s="115">
        <f t="shared" si="63"/>
        <v>13.200000000000001</v>
      </c>
      <c r="BY69" s="247">
        <v>385.36</v>
      </c>
      <c r="BZ69" s="119">
        <f t="shared" si="30"/>
        <v>5086.7520000000004</v>
      </c>
      <c r="CA69" s="115">
        <f t="shared" si="55"/>
        <v>14.399999999999999</v>
      </c>
      <c r="CB69" s="115">
        <f t="shared" si="76"/>
        <v>9.1080000000000005</v>
      </c>
      <c r="CC69" s="115">
        <f t="shared" si="32"/>
        <v>16.599999999999998</v>
      </c>
      <c r="CD69" s="114">
        <f t="shared" si="66"/>
        <v>32</v>
      </c>
      <c r="CE69" s="115">
        <f t="shared" si="56"/>
        <v>21.12</v>
      </c>
      <c r="CF69" s="115">
        <f t="shared" si="78"/>
        <v>23.04</v>
      </c>
      <c r="CG69" s="115">
        <f t="shared" si="77"/>
        <v>14.572799999999999</v>
      </c>
      <c r="CH69" s="115">
        <f t="shared" si="34"/>
        <v>26.56</v>
      </c>
      <c r="CI69" s="139">
        <v>0</v>
      </c>
      <c r="CJ69" s="140">
        <v>0</v>
      </c>
      <c r="CK69" s="139">
        <f t="shared" si="64"/>
        <v>0</v>
      </c>
      <c r="CL69" s="139"/>
      <c r="CM69" s="139">
        <v>1440</v>
      </c>
      <c r="CN69" s="185">
        <v>177116</v>
      </c>
      <c r="CO69" s="139">
        <v>0</v>
      </c>
      <c r="CP69" s="140">
        <v>2249.79</v>
      </c>
      <c r="CQ69" s="139">
        <f t="shared" ref="CQ69:CQ90" si="81">CO69*CP69</f>
        <v>0</v>
      </c>
      <c r="CR69" s="139">
        <v>0</v>
      </c>
      <c r="CS69" s="140">
        <v>445.51</v>
      </c>
      <c r="CT69" s="139">
        <f t="shared" si="54"/>
        <v>0</v>
      </c>
      <c r="CU69" s="139">
        <v>0</v>
      </c>
      <c r="CV69" s="140">
        <v>2249.79</v>
      </c>
      <c r="CW69" s="139">
        <f t="shared" ref="CW69:CW90" si="82">CU69*CV69</f>
        <v>0</v>
      </c>
      <c r="CX69" s="139">
        <v>0</v>
      </c>
      <c r="CY69" s="140">
        <v>2249.79</v>
      </c>
      <c r="CZ69" s="139">
        <f t="shared" ref="CZ69:CZ90" si="83">CX69*CY69</f>
        <v>0</v>
      </c>
      <c r="DA69" s="139">
        <v>0</v>
      </c>
      <c r="DB69" s="140">
        <v>464.26</v>
      </c>
      <c r="DC69" s="139">
        <f t="shared" ref="DC69:DC89" si="84">DA69*DB69</f>
        <v>0</v>
      </c>
      <c r="DD69" s="139">
        <v>0</v>
      </c>
      <c r="DE69" s="140">
        <v>2249.79</v>
      </c>
      <c r="DF69" s="139">
        <f t="shared" ref="DF69:DF89" si="85">DD69*DE69</f>
        <v>0</v>
      </c>
      <c r="DG69" s="139">
        <v>0</v>
      </c>
      <c r="DH69" s="140">
        <v>2249.79</v>
      </c>
      <c r="DI69" s="139">
        <f t="shared" ref="DI69:DI90" si="86">DG69*DH69</f>
        <v>0</v>
      </c>
      <c r="DJ69" s="139">
        <v>0</v>
      </c>
      <c r="DK69" s="139">
        <v>504.26</v>
      </c>
      <c r="DL69" s="139">
        <f t="shared" ref="DL69:DL90" si="87">DJ69*DK69</f>
        <v>0</v>
      </c>
      <c r="DM69" s="139">
        <v>0</v>
      </c>
      <c r="DN69" s="140">
        <v>2249.79</v>
      </c>
      <c r="DO69" s="205">
        <f t="shared" ref="DO69:DO90" si="88">DM69*DN69</f>
        <v>0</v>
      </c>
      <c r="DP69" s="197"/>
    </row>
    <row r="70" spans="1:120" ht="38.25" x14ac:dyDescent="0.25">
      <c r="A70" s="17" t="s">
        <v>92</v>
      </c>
      <c r="B70" s="9"/>
      <c r="C70" s="19" t="s">
        <v>93</v>
      </c>
      <c r="D70" s="9"/>
      <c r="E70" s="10"/>
      <c r="F70" s="11"/>
      <c r="G70" s="7"/>
      <c r="H70" s="10"/>
      <c r="I70" s="7"/>
      <c r="J70" s="10"/>
      <c r="K70" s="7">
        <f>K69</f>
        <v>3872.96</v>
      </c>
      <c r="L70" s="241">
        <v>299.54000000000002</v>
      </c>
      <c r="M70" s="187">
        <f>K70*L70</f>
        <v>1160106.4384000001</v>
      </c>
      <c r="N70" s="7"/>
      <c r="O70" s="7">
        <f>O69</f>
        <v>2246.3168000000001</v>
      </c>
      <c r="P70" s="7"/>
      <c r="Q70" s="7"/>
      <c r="R70" s="188"/>
      <c r="S70" s="7"/>
      <c r="T70" s="7"/>
      <c r="U70" s="7"/>
      <c r="V70" s="7"/>
      <c r="W70" s="7">
        <f t="shared" si="79"/>
        <v>271.10720000000003</v>
      </c>
      <c r="X70" s="247">
        <v>14</v>
      </c>
      <c r="Y70" s="187">
        <f t="shared" si="80"/>
        <v>3795.5008000000007</v>
      </c>
      <c r="Z70" s="9"/>
      <c r="AA70" s="9"/>
      <c r="AB70" s="9"/>
      <c r="AC70" s="10"/>
      <c r="AD70" s="11"/>
      <c r="AE70" s="7"/>
      <c r="AF70" s="10"/>
      <c r="AG70" s="18"/>
      <c r="AH70" s="10"/>
      <c r="AI70" s="7">
        <f>AI69</f>
        <v>450</v>
      </c>
      <c r="AJ70" s="250">
        <v>299.14</v>
      </c>
      <c r="AK70" s="187">
        <f>AI70*AJ70</f>
        <v>134613</v>
      </c>
      <c r="AL70" s="7"/>
      <c r="AM70" s="7">
        <f>AM69</f>
        <v>297</v>
      </c>
      <c r="AN70" s="7"/>
      <c r="AO70" s="18"/>
      <c r="AP70" s="10"/>
      <c r="AQ70" s="7"/>
      <c r="AR70" s="7"/>
      <c r="AS70" s="7"/>
      <c r="AT70" s="7"/>
      <c r="AU70" s="12"/>
      <c r="AV70" s="12"/>
      <c r="AW70" s="10"/>
      <c r="AX70" s="11"/>
      <c r="AY70" s="7"/>
      <c r="AZ70" s="10"/>
      <c r="BA70" s="11"/>
      <c r="BB70" s="10"/>
      <c r="BC70" s="7">
        <f>BC69</f>
        <v>630</v>
      </c>
      <c r="BD70" s="247">
        <v>272.26</v>
      </c>
      <c r="BE70" s="187">
        <f>BC70*BD70</f>
        <v>171523.8</v>
      </c>
      <c r="BF70" s="7"/>
      <c r="BG70" s="7">
        <f>BG69</f>
        <v>434.7</v>
      </c>
      <c r="BH70" s="7"/>
      <c r="BI70" s="11"/>
      <c r="BJ70" s="10"/>
      <c r="BK70" s="7"/>
      <c r="BL70" s="7"/>
      <c r="BM70" s="7"/>
      <c r="BN70" s="7"/>
      <c r="BO70" s="11"/>
      <c r="BP70" s="11"/>
      <c r="BQ70" s="11"/>
      <c r="BR70" s="11"/>
      <c r="BS70" s="11"/>
      <c r="BT70" s="11"/>
      <c r="BU70" s="11"/>
      <c r="BV70" s="11"/>
      <c r="BW70" s="11"/>
      <c r="BX70" s="7">
        <f>BX69</f>
        <v>13.200000000000001</v>
      </c>
      <c r="BY70" s="247">
        <v>385.36</v>
      </c>
      <c r="BZ70" s="187">
        <f>BX70*BY70</f>
        <v>5086.7520000000004</v>
      </c>
      <c r="CA70" s="7"/>
      <c r="CB70" s="7">
        <f>CB69</f>
        <v>9.1080000000000005</v>
      </c>
      <c r="CC70" s="7"/>
      <c r="CD70" s="11"/>
      <c r="CE70" s="7"/>
      <c r="CF70" s="7"/>
      <c r="CG70" s="7"/>
      <c r="CH70" s="7"/>
      <c r="CI70" s="13">
        <v>0</v>
      </c>
      <c r="CJ70" s="189">
        <v>0</v>
      </c>
      <c r="CK70" s="13">
        <f t="shared" si="64"/>
        <v>0</v>
      </c>
      <c r="CL70" s="13" t="s">
        <v>136</v>
      </c>
      <c r="CM70" s="13">
        <v>1440</v>
      </c>
      <c r="CN70" s="14">
        <v>177116</v>
      </c>
      <c r="CO70" s="13">
        <v>0</v>
      </c>
      <c r="CP70" s="189">
        <v>2249.79</v>
      </c>
      <c r="CQ70" s="13">
        <f t="shared" si="81"/>
        <v>0</v>
      </c>
      <c r="CR70" s="13">
        <v>0</v>
      </c>
      <c r="CS70" s="189">
        <v>445.51</v>
      </c>
      <c r="CT70" s="13">
        <f t="shared" ref="CT70:CT90" si="89">CR70*CS70</f>
        <v>0</v>
      </c>
      <c r="CU70" s="13">
        <v>0</v>
      </c>
      <c r="CV70" s="189">
        <v>2249.79</v>
      </c>
      <c r="CW70" s="13">
        <f t="shared" si="82"/>
        <v>0</v>
      </c>
      <c r="CX70" s="13">
        <v>0</v>
      </c>
      <c r="CY70" s="189">
        <v>2249.79</v>
      </c>
      <c r="CZ70" s="13">
        <f t="shared" si="83"/>
        <v>0</v>
      </c>
      <c r="DA70" s="13">
        <v>0</v>
      </c>
      <c r="DB70" s="189">
        <v>464.26</v>
      </c>
      <c r="DC70" s="13">
        <f t="shared" si="84"/>
        <v>0</v>
      </c>
      <c r="DD70" s="13">
        <v>0</v>
      </c>
      <c r="DE70" s="189">
        <v>2249.79</v>
      </c>
      <c r="DF70" s="13">
        <f t="shared" si="85"/>
        <v>0</v>
      </c>
      <c r="DG70" s="13">
        <v>0</v>
      </c>
      <c r="DH70" s="189">
        <v>2249.79</v>
      </c>
      <c r="DI70" s="13">
        <f t="shared" si="86"/>
        <v>0</v>
      </c>
      <c r="DJ70" s="13">
        <v>0</v>
      </c>
      <c r="DK70" s="13">
        <v>504.26</v>
      </c>
      <c r="DL70" s="13">
        <f t="shared" si="87"/>
        <v>0</v>
      </c>
      <c r="DM70" s="13">
        <v>0</v>
      </c>
      <c r="DN70" s="189">
        <v>2249.79</v>
      </c>
      <c r="DO70" s="16">
        <f t="shared" si="88"/>
        <v>0</v>
      </c>
      <c r="DP70" s="196"/>
    </row>
    <row r="71" spans="1:120" s="143" customFormat="1" x14ac:dyDescent="0.25">
      <c r="A71" s="218" t="s">
        <v>94</v>
      </c>
      <c r="B71" s="112">
        <v>4425</v>
      </c>
      <c r="C71" s="220"/>
      <c r="D71" s="112">
        <v>8600</v>
      </c>
      <c r="E71" s="113">
        <f t="shared" si="74"/>
        <v>0.51453488372093026</v>
      </c>
      <c r="F71" s="114">
        <v>7</v>
      </c>
      <c r="G71" s="115">
        <f>$B71*$G$98/$B$95</f>
        <v>3558.6929535788504</v>
      </c>
      <c r="H71" s="113">
        <f t="shared" si="0"/>
        <v>0.41380150623009887</v>
      </c>
      <c r="I71" s="115">
        <f>D71*61%</f>
        <v>5246</v>
      </c>
      <c r="J71" s="113">
        <f t="shared" si="1"/>
        <v>0.61</v>
      </c>
      <c r="K71" s="115">
        <f t="shared" si="43"/>
        <v>3986.96</v>
      </c>
      <c r="L71" s="241">
        <v>299.54000000000002</v>
      </c>
      <c r="M71" s="119">
        <f t="shared" si="2"/>
        <v>1194253.9984000002</v>
      </c>
      <c r="N71" s="115">
        <f t="shared" si="3"/>
        <v>4196.8</v>
      </c>
      <c r="O71" s="115">
        <f t="shared" si="44"/>
        <v>2312.4367999999999</v>
      </c>
      <c r="P71" s="115">
        <f t="shared" si="45"/>
        <v>3829.58</v>
      </c>
      <c r="Q71" s="115">
        <f>D71*70%</f>
        <v>6020</v>
      </c>
      <c r="R71" s="116">
        <f t="shared" si="4"/>
        <v>0.7</v>
      </c>
      <c r="S71" s="115">
        <f t="shared" si="5"/>
        <v>4575.2</v>
      </c>
      <c r="T71" s="115">
        <f t="shared" si="6"/>
        <v>4816</v>
      </c>
      <c r="U71" s="115">
        <f t="shared" si="46"/>
        <v>2653.6159999999995</v>
      </c>
      <c r="V71" s="115">
        <f t="shared" si="7"/>
        <v>4394.5999999999995</v>
      </c>
      <c r="W71" s="115">
        <f t="shared" si="79"/>
        <v>279.08720000000005</v>
      </c>
      <c r="X71" s="246">
        <v>14</v>
      </c>
      <c r="Y71" s="119">
        <f t="shared" si="80"/>
        <v>3907.220800000001</v>
      </c>
      <c r="Z71" s="112">
        <v>717</v>
      </c>
      <c r="AA71" s="112"/>
      <c r="AB71" s="112">
        <v>2100</v>
      </c>
      <c r="AC71" s="113">
        <f t="shared" si="10"/>
        <v>0.34142857142857141</v>
      </c>
      <c r="AD71" s="114">
        <v>6</v>
      </c>
      <c r="AE71" s="115">
        <f>$Z71</f>
        <v>717</v>
      </c>
      <c r="AF71" s="113">
        <f t="shared" si="11"/>
        <v>0.34142857142857141</v>
      </c>
      <c r="AG71" s="114">
        <f>AB71*53%</f>
        <v>1113</v>
      </c>
      <c r="AH71" s="113">
        <f t="shared" si="12"/>
        <v>0.53</v>
      </c>
      <c r="AI71" s="115">
        <f t="shared" si="47"/>
        <v>834.75</v>
      </c>
      <c r="AJ71" s="250">
        <v>299.14</v>
      </c>
      <c r="AK71" s="119">
        <f t="shared" si="13"/>
        <v>249707.11499999999</v>
      </c>
      <c r="AL71" s="115">
        <f t="shared" si="14"/>
        <v>901.53000000000009</v>
      </c>
      <c r="AM71" s="115">
        <f t="shared" si="15"/>
        <v>550.93500000000006</v>
      </c>
      <c r="AN71" s="115">
        <f t="shared" si="16"/>
        <v>946.05</v>
      </c>
      <c r="AO71" s="114">
        <f>AB71*63%</f>
        <v>1323</v>
      </c>
      <c r="AP71" s="113">
        <f t="shared" si="18"/>
        <v>0.63</v>
      </c>
      <c r="AQ71" s="115">
        <f t="shared" si="48"/>
        <v>992.25</v>
      </c>
      <c r="AR71" s="115">
        <f t="shared" si="49"/>
        <v>1071.6300000000001</v>
      </c>
      <c r="AS71" s="115">
        <f t="shared" si="19"/>
        <v>674.73</v>
      </c>
      <c r="AT71" s="115">
        <f t="shared" si="20"/>
        <v>1164.24</v>
      </c>
      <c r="AU71" s="118"/>
      <c r="AV71" s="118">
        <v>2900</v>
      </c>
      <c r="AW71" s="113">
        <f t="shared" si="21"/>
        <v>0</v>
      </c>
      <c r="AX71" s="114">
        <v>2</v>
      </c>
      <c r="AY71" s="115"/>
      <c r="AZ71" s="113"/>
      <c r="BA71" s="114"/>
      <c r="BB71" s="113"/>
      <c r="BC71" s="115">
        <v>0</v>
      </c>
      <c r="BD71" s="247">
        <v>272.26</v>
      </c>
      <c r="BE71" s="119">
        <f t="shared" si="24"/>
        <v>0</v>
      </c>
      <c r="BF71" s="115"/>
      <c r="BG71" s="115"/>
      <c r="BH71" s="115">
        <f t="shared" si="26"/>
        <v>0</v>
      </c>
      <c r="BI71" s="114"/>
      <c r="BJ71" s="113"/>
      <c r="BK71" s="115"/>
      <c r="BL71" s="115"/>
      <c r="BM71" s="115"/>
      <c r="BN71" s="115"/>
      <c r="BO71" s="114"/>
      <c r="BP71" s="114"/>
      <c r="BQ71" s="114"/>
      <c r="BR71" s="114">
        <v>14</v>
      </c>
      <c r="BS71" s="114">
        <f>900*16%</f>
        <v>144</v>
      </c>
      <c r="BT71" s="114">
        <f>1400*6%</f>
        <v>84</v>
      </c>
      <c r="BU71" s="114">
        <v>20</v>
      </c>
      <c r="BV71" s="114">
        <v>25</v>
      </c>
      <c r="BW71" s="114">
        <v>20</v>
      </c>
      <c r="BX71" s="115">
        <f t="shared" si="63"/>
        <v>13.200000000000001</v>
      </c>
      <c r="BY71" s="247">
        <v>385.36</v>
      </c>
      <c r="BZ71" s="119">
        <f t="shared" si="30"/>
        <v>5086.7520000000004</v>
      </c>
      <c r="CA71" s="115">
        <f t="shared" si="55"/>
        <v>14.399999999999999</v>
      </c>
      <c r="CB71" s="115">
        <f>BX71*0.69</f>
        <v>9.1080000000000005</v>
      </c>
      <c r="CC71" s="115">
        <f t="shared" si="32"/>
        <v>16.599999999999998</v>
      </c>
      <c r="CD71" s="114">
        <f t="shared" si="66"/>
        <v>32</v>
      </c>
      <c r="CE71" s="115">
        <f t="shared" si="56"/>
        <v>21.12</v>
      </c>
      <c r="CF71" s="115">
        <f t="shared" si="78"/>
        <v>23.04</v>
      </c>
      <c r="CG71" s="115"/>
      <c r="CH71" s="115">
        <f t="shared" si="34"/>
        <v>26.56</v>
      </c>
      <c r="CI71" s="139">
        <v>100</v>
      </c>
      <c r="CJ71" s="140">
        <v>1351</v>
      </c>
      <c r="CK71" s="139">
        <f t="shared" si="64"/>
        <v>135100</v>
      </c>
      <c r="CL71" s="139"/>
      <c r="CM71" s="139">
        <v>0</v>
      </c>
      <c r="CN71" s="185">
        <v>0</v>
      </c>
      <c r="CO71" s="139">
        <v>0</v>
      </c>
      <c r="CP71" s="140">
        <v>2249.79</v>
      </c>
      <c r="CQ71" s="139">
        <f t="shared" si="81"/>
        <v>0</v>
      </c>
      <c r="CR71" s="139">
        <v>0</v>
      </c>
      <c r="CS71" s="140">
        <v>445.51</v>
      </c>
      <c r="CT71" s="139">
        <f t="shared" si="89"/>
        <v>0</v>
      </c>
      <c r="CU71" s="139">
        <v>0</v>
      </c>
      <c r="CV71" s="140">
        <v>2249.79</v>
      </c>
      <c r="CW71" s="139">
        <f t="shared" si="82"/>
        <v>0</v>
      </c>
      <c r="CX71" s="139">
        <v>0</v>
      </c>
      <c r="CY71" s="140">
        <v>2249.79</v>
      </c>
      <c r="CZ71" s="139">
        <f t="shared" si="83"/>
        <v>0</v>
      </c>
      <c r="DA71" s="139">
        <v>0</v>
      </c>
      <c r="DB71" s="140">
        <v>464.26</v>
      </c>
      <c r="DC71" s="139">
        <f t="shared" si="84"/>
        <v>0</v>
      </c>
      <c r="DD71" s="139">
        <v>0</v>
      </c>
      <c r="DE71" s="140">
        <v>2249.79</v>
      </c>
      <c r="DF71" s="139">
        <f t="shared" si="85"/>
        <v>0</v>
      </c>
      <c r="DG71" s="139">
        <v>0</v>
      </c>
      <c r="DH71" s="140">
        <v>2249.79</v>
      </c>
      <c r="DI71" s="139">
        <f t="shared" si="86"/>
        <v>0</v>
      </c>
      <c r="DJ71" s="139">
        <v>0</v>
      </c>
      <c r="DK71" s="139">
        <v>504.26</v>
      </c>
      <c r="DL71" s="139">
        <f t="shared" si="87"/>
        <v>0</v>
      </c>
      <c r="DM71" s="139">
        <v>0</v>
      </c>
      <c r="DN71" s="140">
        <v>2249.79</v>
      </c>
      <c r="DO71" s="205">
        <f t="shared" si="88"/>
        <v>0</v>
      </c>
      <c r="DP71" s="197"/>
    </row>
    <row r="72" spans="1:120" ht="51" x14ac:dyDescent="0.25">
      <c r="A72" s="17" t="s">
        <v>94</v>
      </c>
      <c r="B72" s="9"/>
      <c r="C72" s="19" t="s">
        <v>95</v>
      </c>
      <c r="D72" s="9"/>
      <c r="E72" s="10"/>
      <c r="F72" s="11"/>
      <c r="G72" s="7"/>
      <c r="H72" s="10"/>
      <c r="I72" s="7"/>
      <c r="J72" s="10"/>
      <c r="K72" s="7">
        <f>K71</f>
        <v>3986.96</v>
      </c>
      <c r="L72" s="241">
        <v>299.54000000000002</v>
      </c>
      <c r="M72" s="187">
        <f>K72*L72</f>
        <v>1194253.9984000002</v>
      </c>
      <c r="N72" s="7"/>
      <c r="O72" s="7">
        <f>K72*0.58</f>
        <v>2312.4367999999999</v>
      </c>
      <c r="P72" s="7"/>
      <c r="Q72" s="7"/>
      <c r="R72" s="188"/>
      <c r="S72" s="7"/>
      <c r="T72" s="7"/>
      <c r="U72" s="7"/>
      <c r="V72" s="7"/>
      <c r="W72" s="7">
        <f>K72*7%</f>
        <v>279.08720000000005</v>
      </c>
      <c r="X72" s="247">
        <v>14</v>
      </c>
      <c r="Y72" s="187">
        <f t="shared" si="80"/>
        <v>3907.220800000001</v>
      </c>
      <c r="Z72" s="9"/>
      <c r="AA72" s="9"/>
      <c r="AB72" s="9"/>
      <c r="AC72" s="10"/>
      <c r="AD72" s="11"/>
      <c r="AE72" s="7"/>
      <c r="AF72" s="10"/>
      <c r="AG72" s="11"/>
      <c r="AH72" s="10"/>
      <c r="AI72" s="7">
        <f>AI71</f>
        <v>834.75</v>
      </c>
      <c r="AJ72" s="250">
        <v>299.14</v>
      </c>
      <c r="AK72" s="187">
        <f>AI72*AJ72</f>
        <v>249707.11499999999</v>
      </c>
      <c r="AL72" s="7"/>
      <c r="AM72" s="7">
        <f>AM71</f>
        <v>550.93500000000006</v>
      </c>
      <c r="AN72" s="7"/>
      <c r="AO72" s="11"/>
      <c r="AP72" s="10"/>
      <c r="AQ72" s="7"/>
      <c r="AR72" s="7"/>
      <c r="AS72" s="7"/>
      <c r="AT72" s="7"/>
      <c r="AU72" s="12"/>
      <c r="AV72" s="12"/>
      <c r="AW72" s="10"/>
      <c r="AX72" s="11"/>
      <c r="AY72" s="7"/>
      <c r="AZ72" s="10"/>
      <c r="BA72" s="11"/>
      <c r="BB72" s="10"/>
      <c r="BC72" s="7">
        <v>0</v>
      </c>
      <c r="BD72" s="247">
        <v>272.26</v>
      </c>
      <c r="BE72" s="187">
        <v>0</v>
      </c>
      <c r="BF72" s="7"/>
      <c r="BG72" s="7">
        <v>0</v>
      </c>
      <c r="BH72" s="7"/>
      <c r="BI72" s="11"/>
      <c r="BJ72" s="10"/>
      <c r="BK72" s="7"/>
      <c r="BL72" s="7"/>
      <c r="BM72" s="7"/>
      <c r="BN72" s="7"/>
      <c r="BO72" s="11"/>
      <c r="BP72" s="11"/>
      <c r="BQ72" s="11"/>
      <c r="BR72" s="11"/>
      <c r="BS72" s="11"/>
      <c r="BT72" s="11"/>
      <c r="BU72" s="11"/>
      <c r="BV72" s="11"/>
      <c r="BW72" s="11"/>
      <c r="BX72" s="7">
        <f>BX71</f>
        <v>13.200000000000001</v>
      </c>
      <c r="BY72" s="247">
        <v>385.36</v>
      </c>
      <c r="BZ72" s="187">
        <f>BX72*BY72</f>
        <v>5086.7520000000004</v>
      </c>
      <c r="CA72" s="7"/>
      <c r="CB72" s="7">
        <f>CB71</f>
        <v>9.1080000000000005</v>
      </c>
      <c r="CC72" s="7"/>
      <c r="CD72" s="11"/>
      <c r="CE72" s="7"/>
      <c r="CF72" s="7"/>
      <c r="CG72" s="7"/>
      <c r="CH72" s="7"/>
      <c r="CI72" s="13">
        <v>0</v>
      </c>
      <c r="CJ72" s="189">
        <v>0</v>
      </c>
      <c r="CK72" s="13">
        <f t="shared" si="64"/>
        <v>0</v>
      </c>
      <c r="CL72" s="13"/>
      <c r="CM72" s="13">
        <v>0</v>
      </c>
      <c r="CN72" s="14">
        <v>0</v>
      </c>
      <c r="CO72" s="13">
        <v>0</v>
      </c>
      <c r="CP72" s="189">
        <v>2249.79</v>
      </c>
      <c r="CQ72" s="13">
        <f t="shared" si="81"/>
        <v>0</v>
      </c>
      <c r="CR72" s="13">
        <v>0</v>
      </c>
      <c r="CS72" s="189">
        <v>445.51</v>
      </c>
      <c r="CT72" s="13">
        <f t="shared" si="89"/>
        <v>0</v>
      </c>
      <c r="CU72" s="13">
        <v>0</v>
      </c>
      <c r="CV72" s="189">
        <v>2249.79</v>
      </c>
      <c r="CW72" s="13">
        <f t="shared" si="82"/>
        <v>0</v>
      </c>
      <c r="CX72" s="13">
        <v>0</v>
      </c>
      <c r="CY72" s="189">
        <v>2249.79</v>
      </c>
      <c r="CZ72" s="13">
        <f t="shared" si="83"/>
        <v>0</v>
      </c>
      <c r="DA72" s="13">
        <v>0</v>
      </c>
      <c r="DB72" s="189">
        <v>464.26</v>
      </c>
      <c r="DC72" s="13">
        <f t="shared" si="84"/>
        <v>0</v>
      </c>
      <c r="DD72" s="13">
        <v>0</v>
      </c>
      <c r="DE72" s="189">
        <v>2249.79</v>
      </c>
      <c r="DF72" s="13">
        <f t="shared" si="85"/>
        <v>0</v>
      </c>
      <c r="DG72" s="13">
        <v>0</v>
      </c>
      <c r="DH72" s="189">
        <v>2249.79</v>
      </c>
      <c r="DI72" s="13">
        <f t="shared" si="86"/>
        <v>0</v>
      </c>
      <c r="DJ72" s="13">
        <v>0</v>
      </c>
      <c r="DK72" s="13">
        <v>504.26</v>
      </c>
      <c r="DL72" s="13">
        <f t="shared" si="87"/>
        <v>0</v>
      </c>
      <c r="DM72" s="13">
        <v>0</v>
      </c>
      <c r="DN72" s="189">
        <v>2249.79</v>
      </c>
      <c r="DO72" s="16">
        <f t="shared" si="88"/>
        <v>0</v>
      </c>
      <c r="DP72" s="196"/>
    </row>
    <row r="73" spans="1:120" s="143" customFormat="1" x14ac:dyDescent="0.25">
      <c r="A73" s="218" t="s">
        <v>96</v>
      </c>
      <c r="B73" s="112">
        <v>9473</v>
      </c>
      <c r="C73" s="220"/>
      <c r="D73" s="112">
        <v>11400</v>
      </c>
      <c r="E73" s="113">
        <f t="shared" si="74"/>
        <v>0.8309649122807018</v>
      </c>
      <c r="F73" s="114">
        <v>2</v>
      </c>
      <c r="G73" s="115">
        <f>$D$73*60%</f>
        <v>6840</v>
      </c>
      <c r="H73" s="113">
        <f t="shared" si="0"/>
        <v>0.6</v>
      </c>
      <c r="I73" s="115">
        <v>6840</v>
      </c>
      <c r="J73" s="113">
        <f t="shared" si="1"/>
        <v>0.6</v>
      </c>
      <c r="K73" s="115">
        <f>I73*76%</f>
        <v>5198.3999999999996</v>
      </c>
      <c r="L73" s="241">
        <v>299.54000000000002</v>
      </c>
      <c r="M73" s="119">
        <f>K73*L73</f>
        <v>1557128.736</v>
      </c>
      <c r="N73" s="115">
        <f t="shared" si="3"/>
        <v>5472</v>
      </c>
      <c r="O73" s="115">
        <f>K73*58%</f>
        <v>3015.0719999999997</v>
      </c>
      <c r="P73" s="115">
        <f t="shared" si="45"/>
        <v>4993.2</v>
      </c>
      <c r="Q73" s="115">
        <f>D73*67%</f>
        <v>7638.0000000000009</v>
      </c>
      <c r="R73" s="116">
        <f t="shared" si="4"/>
        <v>0.67</v>
      </c>
      <c r="S73" s="115">
        <f t="shared" si="5"/>
        <v>5804.880000000001</v>
      </c>
      <c r="T73" s="115">
        <f t="shared" si="6"/>
        <v>6110.4000000000015</v>
      </c>
      <c r="U73" s="115">
        <f t="shared" si="46"/>
        <v>3366.8304000000003</v>
      </c>
      <c r="V73" s="115">
        <f t="shared" si="7"/>
        <v>5575.7400000000007</v>
      </c>
      <c r="W73" s="115">
        <f t="shared" si="79"/>
        <v>363.88800000000003</v>
      </c>
      <c r="X73" s="246">
        <v>14</v>
      </c>
      <c r="Y73" s="119">
        <f t="shared" si="80"/>
        <v>5094.4320000000007</v>
      </c>
      <c r="Z73" s="112">
        <v>1272</v>
      </c>
      <c r="AA73" s="112"/>
      <c r="AB73" s="112">
        <v>1700</v>
      </c>
      <c r="AC73" s="113">
        <f t="shared" si="10"/>
        <v>0.74823529411764711</v>
      </c>
      <c r="AD73" s="114">
        <v>-2</v>
      </c>
      <c r="AE73" s="115">
        <v>1000</v>
      </c>
      <c r="AF73" s="113">
        <f t="shared" si="11"/>
        <v>0.58823529411764708</v>
      </c>
      <c r="AG73" s="117">
        <f>AE73</f>
        <v>1000</v>
      </c>
      <c r="AH73" s="113">
        <f t="shared" si="12"/>
        <v>0.58823529411764708</v>
      </c>
      <c r="AI73" s="115">
        <f>AG73*75%</f>
        <v>750</v>
      </c>
      <c r="AJ73" s="250">
        <v>299.14</v>
      </c>
      <c r="AK73" s="119">
        <f>AI73*AJ73</f>
        <v>224355</v>
      </c>
      <c r="AL73" s="115">
        <f t="shared" si="14"/>
        <v>810</v>
      </c>
      <c r="AM73" s="115">
        <f t="shared" si="15"/>
        <v>495</v>
      </c>
      <c r="AN73" s="115">
        <f t="shared" si="16"/>
        <v>850</v>
      </c>
      <c r="AO73" s="117">
        <f>AB73*60%</f>
        <v>1020</v>
      </c>
      <c r="AP73" s="113">
        <f t="shared" si="18"/>
        <v>0.6</v>
      </c>
      <c r="AQ73" s="115">
        <f t="shared" si="48"/>
        <v>765</v>
      </c>
      <c r="AR73" s="115">
        <f t="shared" si="49"/>
        <v>826.2</v>
      </c>
      <c r="AS73" s="115">
        <f t="shared" si="19"/>
        <v>520.20000000000005</v>
      </c>
      <c r="AT73" s="115">
        <f t="shared" si="20"/>
        <v>897.6</v>
      </c>
      <c r="AU73" s="118">
        <v>903</v>
      </c>
      <c r="AV73" s="118">
        <v>3400</v>
      </c>
      <c r="AW73" s="113">
        <f t="shared" si="21"/>
        <v>0.26558823529411762</v>
      </c>
      <c r="AX73" s="114">
        <v>0</v>
      </c>
      <c r="AY73" s="115">
        <f>AV73*27%</f>
        <v>918.00000000000011</v>
      </c>
      <c r="AZ73" s="113">
        <f t="shared" si="22"/>
        <v>0.27</v>
      </c>
      <c r="BA73" s="114">
        <f>AV73*27%</f>
        <v>918.00000000000011</v>
      </c>
      <c r="BB73" s="113">
        <f t="shared" si="23"/>
        <v>0.27</v>
      </c>
      <c r="BC73" s="115">
        <f>BA73*70%</f>
        <v>642.6</v>
      </c>
      <c r="BD73" s="247">
        <v>272.26</v>
      </c>
      <c r="BE73" s="119">
        <f>BC73*BD73</f>
        <v>174954.27600000001</v>
      </c>
      <c r="BF73" s="115">
        <f t="shared" si="51"/>
        <v>660.96</v>
      </c>
      <c r="BG73" s="115">
        <f t="shared" si="25"/>
        <v>443.39400000000001</v>
      </c>
      <c r="BH73" s="115">
        <f t="shared" si="26"/>
        <v>761.94</v>
      </c>
      <c r="BI73" s="114">
        <f>BA73</f>
        <v>918.00000000000011</v>
      </c>
      <c r="BJ73" s="113">
        <f t="shared" si="27"/>
        <v>0.27</v>
      </c>
      <c r="BK73" s="115">
        <f t="shared" si="52"/>
        <v>651.78000000000009</v>
      </c>
      <c r="BL73" s="115">
        <f t="shared" si="53"/>
        <v>660.96</v>
      </c>
      <c r="BM73" s="115">
        <f t="shared" ref="BM73:BM85" si="90">BK73*69%</f>
        <v>449.72820000000002</v>
      </c>
      <c r="BN73" s="115">
        <f t="shared" si="29"/>
        <v>761.94</v>
      </c>
      <c r="BO73" s="114"/>
      <c r="BP73" s="114"/>
      <c r="BQ73" s="114"/>
      <c r="BR73" s="114"/>
      <c r="BS73" s="115">
        <f>1100*3.3%</f>
        <v>36.300000000000004</v>
      </c>
      <c r="BT73" s="114">
        <f>1400*2%</f>
        <v>28</v>
      </c>
      <c r="BU73" s="114">
        <v>20</v>
      </c>
      <c r="BV73" s="114"/>
      <c r="BW73" s="114">
        <v>0</v>
      </c>
      <c r="BX73" s="115">
        <v>0</v>
      </c>
      <c r="BY73" s="246">
        <v>0</v>
      </c>
      <c r="BZ73" s="119">
        <f>BX73*BY73</f>
        <v>0</v>
      </c>
      <c r="CA73" s="115"/>
      <c r="CB73" s="115">
        <v>0</v>
      </c>
      <c r="CC73" s="115"/>
      <c r="CD73" s="114"/>
      <c r="CE73" s="115"/>
      <c r="CF73" s="115"/>
      <c r="CG73" s="115"/>
      <c r="CH73" s="115"/>
      <c r="CI73" s="139">
        <v>0</v>
      </c>
      <c r="CJ73" s="140">
        <v>0</v>
      </c>
      <c r="CK73" s="139">
        <f t="shared" si="64"/>
        <v>0</v>
      </c>
      <c r="CL73" s="139" t="s">
        <v>135</v>
      </c>
      <c r="CM73" s="139">
        <v>1440</v>
      </c>
      <c r="CN73" s="185">
        <v>150596</v>
      </c>
      <c r="CO73" s="139">
        <f>CO75+CO76</f>
        <v>25</v>
      </c>
      <c r="CP73" s="140">
        <v>2249.79</v>
      </c>
      <c r="CQ73" s="139">
        <f t="shared" si="81"/>
        <v>56244.75</v>
      </c>
      <c r="CR73" s="139">
        <v>0</v>
      </c>
      <c r="CS73" s="140">
        <v>445.51</v>
      </c>
      <c r="CT73" s="139">
        <f t="shared" si="89"/>
        <v>0</v>
      </c>
      <c r="CU73" s="139">
        <v>0</v>
      </c>
      <c r="CV73" s="140">
        <v>2249.79</v>
      </c>
      <c r="CW73" s="139">
        <f t="shared" si="82"/>
        <v>0</v>
      </c>
      <c r="CX73" s="139">
        <v>0</v>
      </c>
      <c r="CY73" s="140">
        <v>2249.79</v>
      </c>
      <c r="CZ73" s="139">
        <f t="shared" si="83"/>
        <v>0</v>
      </c>
      <c r="DA73" s="139">
        <v>0</v>
      </c>
      <c r="DB73" s="140">
        <v>464.26</v>
      </c>
      <c r="DC73" s="139">
        <f t="shared" si="84"/>
        <v>0</v>
      </c>
      <c r="DD73" s="139">
        <v>0</v>
      </c>
      <c r="DE73" s="140">
        <v>2249.79</v>
      </c>
      <c r="DF73" s="139">
        <f t="shared" si="85"/>
        <v>0</v>
      </c>
      <c r="DG73" s="139">
        <v>0</v>
      </c>
      <c r="DH73" s="140">
        <v>2249.79</v>
      </c>
      <c r="DI73" s="139">
        <f t="shared" si="86"/>
        <v>0</v>
      </c>
      <c r="DJ73" s="139">
        <v>0</v>
      </c>
      <c r="DK73" s="139">
        <v>504.26</v>
      </c>
      <c r="DL73" s="139">
        <f t="shared" si="87"/>
        <v>0</v>
      </c>
      <c r="DM73" s="139">
        <v>0</v>
      </c>
      <c r="DN73" s="145">
        <v>2249.79</v>
      </c>
      <c r="DO73" s="205">
        <f t="shared" si="88"/>
        <v>0</v>
      </c>
      <c r="DP73" s="197"/>
    </row>
    <row r="74" spans="1:120" ht="25.5" x14ac:dyDescent="0.25">
      <c r="A74" s="17" t="s">
        <v>96</v>
      </c>
      <c r="B74" s="9"/>
      <c r="C74" s="19" t="s">
        <v>97</v>
      </c>
      <c r="D74" s="9"/>
      <c r="E74" s="10"/>
      <c r="F74" s="11"/>
      <c r="G74" s="7"/>
      <c r="H74" s="10"/>
      <c r="I74" s="7"/>
      <c r="J74" s="10"/>
      <c r="K74" s="7">
        <v>843</v>
      </c>
      <c r="L74" s="241">
        <v>299.54000000000002</v>
      </c>
      <c r="M74" s="187">
        <f>K74*L74</f>
        <v>252512.22000000003</v>
      </c>
      <c r="N74" s="7"/>
      <c r="O74" s="7">
        <f>K74*0.58</f>
        <v>488.93999999999994</v>
      </c>
      <c r="P74" s="7"/>
      <c r="Q74" s="7"/>
      <c r="R74" s="188"/>
      <c r="S74" s="7"/>
      <c r="T74" s="7"/>
      <c r="U74" s="7"/>
      <c r="V74" s="7"/>
      <c r="W74" s="7">
        <f t="shared" si="79"/>
        <v>59.010000000000005</v>
      </c>
      <c r="X74" s="247">
        <v>14</v>
      </c>
      <c r="Y74" s="187">
        <f t="shared" si="80"/>
        <v>826.1400000000001</v>
      </c>
      <c r="Z74" s="9"/>
      <c r="AA74" s="9"/>
      <c r="AB74" s="9"/>
      <c r="AC74" s="10"/>
      <c r="AD74" s="11"/>
      <c r="AE74" s="7"/>
      <c r="AF74" s="10"/>
      <c r="AG74" s="18"/>
      <c r="AH74" s="10"/>
      <c r="AI74" s="7">
        <f>AI73*0.54</f>
        <v>405</v>
      </c>
      <c r="AJ74" s="250">
        <v>299.14</v>
      </c>
      <c r="AK74" s="187">
        <f>AI74*AJ74</f>
        <v>121151.7</v>
      </c>
      <c r="AL74" s="7"/>
      <c r="AM74" s="7">
        <f>AI74*0.66</f>
        <v>267.3</v>
      </c>
      <c r="AN74" s="7"/>
      <c r="AO74" s="18"/>
      <c r="AP74" s="10"/>
      <c r="AQ74" s="7"/>
      <c r="AR74" s="7"/>
      <c r="AS74" s="7"/>
      <c r="AT74" s="7"/>
      <c r="AU74" s="12"/>
      <c r="AV74" s="12"/>
      <c r="AW74" s="10"/>
      <c r="AX74" s="11"/>
      <c r="AY74" s="7"/>
      <c r="AZ74" s="10"/>
      <c r="BA74" s="11"/>
      <c r="BB74" s="10"/>
      <c r="BC74" s="7">
        <v>0</v>
      </c>
      <c r="BD74" s="247">
        <v>272.26</v>
      </c>
      <c r="BE74" s="187">
        <v>0</v>
      </c>
      <c r="BF74" s="7"/>
      <c r="BG74" s="7">
        <v>0</v>
      </c>
      <c r="BH74" s="7"/>
      <c r="BI74" s="11"/>
      <c r="BJ74" s="10"/>
      <c r="BK74" s="7"/>
      <c r="BL74" s="7"/>
      <c r="BM74" s="7"/>
      <c r="BN74" s="7"/>
      <c r="BO74" s="11"/>
      <c r="BP74" s="11"/>
      <c r="BQ74" s="11"/>
      <c r="BR74" s="11"/>
      <c r="BS74" s="7"/>
      <c r="BT74" s="11"/>
      <c r="BU74" s="11"/>
      <c r="BV74" s="11"/>
      <c r="BW74" s="11"/>
      <c r="BX74" s="7">
        <v>0</v>
      </c>
      <c r="BY74" s="247">
        <v>0</v>
      </c>
      <c r="BZ74" s="187">
        <v>0</v>
      </c>
      <c r="CA74" s="7"/>
      <c r="CB74" s="7">
        <v>0</v>
      </c>
      <c r="CC74" s="7"/>
      <c r="CD74" s="11"/>
      <c r="CE74" s="7"/>
      <c r="CF74" s="7"/>
      <c r="CG74" s="7"/>
      <c r="CH74" s="7"/>
      <c r="CI74" s="13">
        <v>0</v>
      </c>
      <c r="CJ74" s="189">
        <v>0</v>
      </c>
      <c r="CK74" s="13">
        <f t="shared" si="64"/>
        <v>0</v>
      </c>
      <c r="CL74" s="13" t="s">
        <v>135</v>
      </c>
      <c r="CM74" s="13">
        <v>1440</v>
      </c>
      <c r="CN74" s="14">
        <v>150596</v>
      </c>
      <c r="CO74" s="13">
        <v>0</v>
      </c>
      <c r="CP74" s="189">
        <v>2249.79</v>
      </c>
      <c r="CQ74" s="13">
        <f t="shared" si="81"/>
        <v>0</v>
      </c>
      <c r="CR74" s="13">
        <v>0</v>
      </c>
      <c r="CS74" s="189">
        <v>445.51</v>
      </c>
      <c r="CT74" s="13">
        <f t="shared" si="89"/>
        <v>0</v>
      </c>
      <c r="CU74" s="13">
        <v>0</v>
      </c>
      <c r="CV74" s="189">
        <v>2249.79</v>
      </c>
      <c r="CW74" s="13">
        <f t="shared" si="82"/>
        <v>0</v>
      </c>
      <c r="CX74" s="13">
        <v>0</v>
      </c>
      <c r="CY74" s="189">
        <v>2249.79</v>
      </c>
      <c r="CZ74" s="13">
        <f t="shared" si="83"/>
        <v>0</v>
      </c>
      <c r="DA74" s="13">
        <v>0</v>
      </c>
      <c r="DB74" s="189">
        <v>464.26</v>
      </c>
      <c r="DC74" s="13">
        <f t="shared" si="84"/>
        <v>0</v>
      </c>
      <c r="DD74" s="13">
        <v>0</v>
      </c>
      <c r="DE74" s="189">
        <v>2249.79</v>
      </c>
      <c r="DF74" s="13">
        <f t="shared" si="85"/>
        <v>0</v>
      </c>
      <c r="DG74" s="13">
        <v>0</v>
      </c>
      <c r="DH74" s="189">
        <v>2249.79</v>
      </c>
      <c r="DI74" s="13">
        <f t="shared" si="86"/>
        <v>0</v>
      </c>
      <c r="DJ74" s="13">
        <v>0</v>
      </c>
      <c r="DK74" s="13">
        <v>504.26</v>
      </c>
      <c r="DL74" s="13">
        <f t="shared" si="87"/>
        <v>0</v>
      </c>
      <c r="DM74" s="13">
        <v>0</v>
      </c>
      <c r="DN74" s="192">
        <v>2249.79</v>
      </c>
      <c r="DO74" s="16">
        <f t="shared" si="88"/>
        <v>0</v>
      </c>
      <c r="DP74" s="196"/>
    </row>
    <row r="75" spans="1:120" x14ac:dyDescent="0.25">
      <c r="A75" s="17" t="s">
        <v>96</v>
      </c>
      <c r="B75" s="9"/>
      <c r="C75" s="19" t="s">
        <v>98</v>
      </c>
      <c r="D75" s="9"/>
      <c r="E75" s="10"/>
      <c r="F75" s="11"/>
      <c r="G75" s="7"/>
      <c r="H75" s="10"/>
      <c r="I75" s="7"/>
      <c r="J75" s="10"/>
      <c r="K75" s="7">
        <v>2185</v>
      </c>
      <c r="L75" s="241">
        <v>299.54000000000002</v>
      </c>
      <c r="M75" s="187">
        <f>K75*L75</f>
        <v>654494.9</v>
      </c>
      <c r="N75" s="7"/>
      <c r="O75" s="7">
        <f>K75*0.58</f>
        <v>1267.3</v>
      </c>
      <c r="P75" s="7"/>
      <c r="Q75" s="7"/>
      <c r="R75" s="188"/>
      <c r="S75" s="7"/>
      <c r="T75" s="7"/>
      <c r="U75" s="7"/>
      <c r="V75" s="7"/>
      <c r="W75" s="7">
        <f t="shared" si="79"/>
        <v>152.95000000000002</v>
      </c>
      <c r="X75" s="247">
        <v>14</v>
      </c>
      <c r="Y75" s="187">
        <f t="shared" si="80"/>
        <v>2141.3000000000002</v>
      </c>
      <c r="Z75" s="9"/>
      <c r="AA75" s="9"/>
      <c r="AB75" s="9"/>
      <c r="AC75" s="10"/>
      <c r="AD75" s="11"/>
      <c r="AE75" s="7"/>
      <c r="AF75" s="10"/>
      <c r="AG75" s="18"/>
      <c r="AH75" s="10"/>
      <c r="AI75" s="7">
        <v>0</v>
      </c>
      <c r="AJ75" s="250">
        <v>299.14</v>
      </c>
      <c r="AK75" s="187">
        <v>0</v>
      </c>
      <c r="AL75" s="7"/>
      <c r="AM75" s="7">
        <v>0</v>
      </c>
      <c r="AN75" s="7"/>
      <c r="AO75" s="18"/>
      <c r="AP75" s="10"/>
      <c r="AQ75" s="7"/>
      <c r="AR75" s="7"/>
      <c r="AS75" s="7"/>
      <c r="AT75" s="7"/>
      <c r="AU75" s="12"/>
      <c r="AV75" s="12"/>
      <c r="AW75" s="10"/>
      <c r="AX75" s="11"/>
      <c r="AY75" s="7"/>
      <c r="AZ75" s="10"/>
      <c r="BA75" s="11"/>
      <c r="BB75" s="10"/>
      <c r="BC75" s="7">
        <v>0</v>
      </c>
      <c r="BD75" s="247">
        <v>272.26</v>
      </c>
      <c r="BE75" s="187">
        <v>0</v>
      </c>
      <c r="BF75" s="7"/>
      <c r="BG75" s="7">
        <v>0</v>
      </c>
      <c r="BH75" s="7"/>
      <c r="BI75" s="11"/>
      <c r="BJ75" s="10"/>
      <c r="BK75" s="7"/>
      <c r="BL75" s="7"/>
      <c r="BM75" s="7"/>
      <c r="BN75" s="7"/>
      <c r="BO75" s="11"/>
      <c r="BP75" s="11"/>
      <c r="BQ75" s="11"/>
      <c r="BR75" s="11"/>
      <c r="BS75" s="7"/>
      <c r="BT75" s="11"/>
      <c r="BU75" s="11"/>
      <c r="BV75" s="11"/>
      <c r="BW75" s="11"/>
      <c r="BX75" s="7">
        <v>0</v>
      </c>
      <c r="BY75" s="247">
        <v>0</v>
      </c>
      <c r="BZ75" s="187">
        <v>0</v>
      </c>
      <c r="CA75" s="7"/>
      <c r="CB75" s="7">
        <v>0</v>
      </c>
      <c r="CC75" s="7"/>
      <c r="CD75" s="11"/>
      <c r="CE75" s="7"/>
      <c r="CF75" s="7"/>
      <c r="CG75" s="7"/>
      <c r="CH75" s="7"/>
      <c r="CI75" s="13">
        <v>0</v>
      </c>
      <c r="CJ75" s="189">
        <v>0</v>
      </c>
      <c r="CK75" s="13">
        <f t="shared" si="64"/>
        <v>0</v>
      </c>
      <c r="CL75" s="12">
        <v>0</v>
      </c>
      <c r="CM75" s="13">
        <v>1440</v>
      </c>
      <c r="CN75" s="14">
        <v>0</v>
      </c>
      <c r="CO75" s="13">
        <v>17</v>
      </c>
      <c r="CP75" s="189">
        <v>2249.79</v>
      </c>
      <c r="CQ75" s="13">
        <f t="shared" si="81"/>
        <v>38246.43</v>
      </c>
      <c r="CR75" s="13">
        <v>0</v>
      </c>
      <c r="CS75" s="189">
        <v>445.51</v>
      </c>
      <c r="CT75" s="13">
        <f t="shared" si="89"/>
        <v>0</v>
      </c>
      <c r="CU75" s="13">
        <v>0</v>
      </c>
      <c r="CV75" s="189">
        <v>2249.79</v>
      </c>
      <c r="CW75" s="13">
        <f t="shared" si="82"/>
        <v>0</v>
      </c>
      <c r="CX75" s="13">
        <v>0</v>
      </c>
      <c r="CY75" s="189">
        <v>2249.79</v>
      </c>
      <c r="CZ75" s="13">
        <f t="shared" si="83"/>
        <v>0</v>
      </c>
      <c r="DA75" s="13">
        <v>0</v>
      </c>
      <c r="DB75" s="189">
        <v>464.26</v>
      </c>
      <c r="DC75" s="13">
        <f t="shared" si="84"/>
        <v>0</v>
      </c>
      <c r="DD75" s="13">
        <v>0</v>
      </c>
      <c r="DE75" s="189">
        <v>2249.79</v>
      </c>
      <c r="DF75" s="13">
        <f t="shared" si="85"/>
        <v>0</v>
      </c>
      <c r="DG75" s="13">
        <v>0</v>
      </c>
      <c r="DH75" s="189">
        <v>2249.79</v>
      </c>
      <c r="DI75" s="13">
        <f t="shared" si="86"/>
        <v>0</v>
      </c>
      <c r="DJ75" s="13">
        <v>0</v>
      </c>
      <c r="DK75" s="13">
        <v>504.26</v>
      </c>
      <c r="DL75" s="13">
        <f t="shared" si="87"/>
        <v>0</v>
      </c>
      <c r="DM75" s="13">
        <v>0</v>
      </c>
      <c r="DN75" s="192">
        <v>2249.79</v>
      </c>
      <c r="DO75" s="16">
        <f t="shared" si="88"/>
        <v>0</v>
      </c>
      <c r="DP75" s="196"/>
    </row>
    <row r="76" spans="1:120" ht="25.5" x14ac:dyDescent="0.25">
      <c r="A76" s="17" t="s">
        <v>96</v>
      </c>
      <c r="B76" s="9"/>
      <c r="C76" s="19" t="s">
        <v>99</v>
      </c>
      <c r="D76" s="9"/>
      <c r="E76" s="10"/>
      <c r="F76" s="11"/>
      <c r="G76" s="7"/>
      <c r="H76" s="10"/>
      <c r="I76" s="7"/>
      <c r="J76" s="10"/>
      <c r="K76" s="7">
        <v>1400</v>
      </c>
      <c r="L76" s="241">
        <v>299.54000000000002</v>
      </c>
      <c r="M76" s="187">
        <f>K76*L76+120</f>
        <v>419476</v>
      </c>
      <c r="N76" s="7"/>
      <c r="O76" s="7">
        <f>K76*0.58</f>
        <v>812</v>
      </c>
      <c r="P76" s="7"/>
      <c r="Q76" s="7"/>
      <c r="R76" s="188"/>
      <c r="S76" s="7"/>
      <c r="T76" s="7"/>
      <c r="U76" s="7"/>
      <c r="V76" s="7"/>
      <c r="W76" s="7">
        <f t="shared" si="79"/>
        <v>98.000000000000014</v>
      </c>
      <c r="X76" s="247">
        <v>14</v>
      </c>
      <c r="Y76" s="187">
        <f t="shared" si="80"/>
        <v>1372.0000000000002</v>
      </c>
      <c r="Z76" s="9"/>
      <c r="AA76" s="9"/>
      <c r="AB76" s="9"/>
      <c r="AC76" s="10"/>
      <c r="AD76" s="11"/>
      <c r="AE76" s="7"/>
      <c r="AF76" s="10"/>
      <c r="AG76" s="18"/>
      <c r="AH76" s="10"/>
      <c r="AI76" s="7">
        <f>AI73*0.46</f>
        <v>345</v>
      </c>
      <c r="AJ76" s="250">
        <v>299.14</v>
      </c>
      <c r="AK76" s="187">
        <f>AI76*AJ76</f>
        <v>103203.29999999999</v>
      </c>
      <c r="AL76" s="7"/>
      <c r="AM76" s="7">
        <f>AI76*0.66</f>
        <v>227.70000000000002</v>
      </c>
      <c r="AN76" s="7"/>
      <c r="AO76" s="18"/>
      <c r="AP76" s="10"/>
      <c r="AQ76" s="7"/>
      <c r="AR76" s="7"/>
      <c r="AS76" s="7"/>
      <c r="AT76" s="7"/>
      <c r="AU76" s="12"/>
      <c r="AV76" s="12"/>
      <c r="AW76" s="10"/>
      <c r="AX76" s="11"/>
      <c r="AY76" s="7"/>
      <c r="AZ76" s="10"/>
      <c r="BA76" s="11"/>
      <c r="BB76" s="10"/>
      <c r="BC76" s="7">
        <v>0</v>
      </c>
      <c r="BD76" s="247">
        <v>272.26</v>
      </c>
      <c r="BE76" s="187">
        <v>0</v>
      </c>
      <c r="BF76" s="7"/>
      <c r="BG76" s="7">
        <v>0</v>
      </c>
      <c r="BH76" s="7"/>
      <c r="BI76" s="11"/>
      <c r="BJ76" s="10"/>
      <c r="BK76" s="7"/>
      <c r="BL76" s="7"/>
      <c r="BM76" s="7"/>
      <c r="BN76" s="7"/>
      <c r="BO76" s="11"/>
      <c r="BP76" s="11"/>
      <c r="BQ76" s="11"/>
      <c r="BR76" s="11"/>
      <c r="BS76" s="7"/>
      <c r="BT76" s="11"/>
      <c r="BU76" s="11"/>
      <c r="BV76" s="11"/>
      <c r="BW76" s="11"/>
      <c r="BX76" s="7">
        <v>0</v>
      </c>
      <c r="BY76" s="247">
        <v>0</v>
      </c>
      <c r="BZ76" s="187">
        <v>0</v>
      </c>
      <c r="CA76" s="7"/>
      <c r="CB76" s="7">
        <v>0</v>
      </c>
      <c r="CC76" s="7"/>
      <c r="CD76" s="11"/>
      <c r="CE76" s="7"/>
      <c r="CF76" s="7"/>
      <c r="CG76" s="7"/>
      <c r="CH76" s="7"/>
      <c r="CI76" s="13">
        <v>0</v>
      </c>
      <c r="CJ76" s="189">
        <v>0</v>
      </c>
      <c r="CK76" s="13">
        <f t="shared" si="64"/>
        <v>0</v>
      </c>
      <c r="CL76" s="12">
        <v>0</v>
      </c>
      <c r="CM76" s="13">
        <v>1440</v>
      </c>
      <c r="CN76" s="14">
        <v>0</v>
      </c>
      <c r="CO76" s="13">
        <v>8</v>
      </c>
      <c r="CP76" s="189">
        <v>2249.79</v>
      </c>
      <c r="CQ76" s="13">
        <f t="shared" si="81"/>
        <v>17998.32</v>
      </c>
      <c r="CR76" s="13">
        <v>0</v>
      </c>
      <c r="CS76" s="189">
        <v>445.51</v>
      </c>
      <c r="CT76" s="13">
        <f t="shared" si="89"/>
        <v>0</v>
      </c>
      <c r="CU76" s="13">
        <v>0</v>
      </c>
      <c r="CV76" s="189">
        <v>2249.79</v>
      </c>
      <c r="CW76" s="13">
        <f t="shared" si="82"/>
        <v>0</v>
      </c>
      <c r="CX76" s="13">
        <v>0</v>
      </c>
      <c r="CY76" s="189">
        <v>2249.79</v>
      </c>
      <c r="CZ76" s="13">
        <f t="shared" si="83"/>
        <v>0</v>
      </c>
      <c r="DA76" s="13">
        <v>0</v>
      </c>
      <c r="DB76" s="189">
        <v>464.26</v>
      </c>
      <c r="DC76" s="13">
        <f t="shared" si="84"/>
        <v>0</v>
      </c>
      <c r="DD76" s="13">
        <v>0</v>
      </c>
      <c r="DE76" s="189">
        <v>2249.79</v>
      </c>
      <c r="DF76" s="13">
        <f t="shared" si="85"/>
        <v>0</v>
      </c>
      <c r="DG76" s="13">
        <v>0</v>
      </c>
      <c r="DH76" s="189">
        <v>2249.79</v>
      </c>
      <c r="DI76" s="13">
        <f t="shared" si="86"/>
        <v>0</v>
      </c>
      <c r="DJ76" s="13">
        <v>0</v>
      </c>
      <c r="DK76" s="13">
        <v>504.26</v>
      </c>
      <c r="DL76" s="13">
        <f t="shared" si="87"/>
        <v>0</v>
      </c>
      <c r="DM76" s="13">
        <v>0</v>
      </c>
      <c r="DN76" s="192">
        <v>2249.79</v>
      </c>
      <c r="DO76" s="16">
        <f t="shared" si="88"/>
        <v>0</v>
      </c>
      <c r="DP76" s="196"/>
    </row>
    <row r="77" spans="1:120" ht="76.5" x14ac:dyDescent="0.25">
      <c r="A77" s="17" t="s">
        <v>96</v>
      </c>
      <c r="B77" s="9"/>
      <c r="C77" s="19" t="s">
        <v>100</v>
      </c>
      <c r="D77" s="9"/>
      <c r="E77" s="10"/>
      <c r="F77" s="11"/>
      <c r="G77" s="7"/>
      <c r="H77" s="10"/>
      <c r="I77" s="7"/>
      <c r="J77" s="10"/>
      <c r="K77" s="7">
        <v>770</v>
      </c>
      <c r="L77" s="241">
        <v>299.54000000000002</v>
      </c>
      <c r="M77" s="187">
        <f>K77*L77</f>
        <v>230645.80000000002</v>
      </c>
      <c r="N77" s="7"/>
      <c r="O77" s="7">
        <f>K77*0.58</f>
        <v>446.59999999999997</v>
      </c>
      <c r="P77" s="7"/>
      <c r="Q77" s="7"/>
      <c r="R77" s="188"/>
      <c r="S77" s="7"/>
      <c r="T77" s="7"/>
      <c r="U77" s="7"/>
      <c r="V77" s="7"/>
      <c r="W77" s="7">
        <f t="shared" si="79"/>
        <v>53.900000000000006</v>
      </c>
      <c r="X77" s="247">
        <v>14</v>
      </c>
      <c r="Y77" s="187">
        <f t="shared" si="80"/>
        <v>754.60000000000014</v>
      </c>
      <c r="Z77" s="9"/>
      <c r="AA77" s="9"/>
      <c r="AB77" s="9"/>
      <c r="AC77" s="10"/>
      <c r="AD77" s="11"/>
      <c r="AE77" s="7"/>
      <c r="AF77" s="10"/>
      <c r="AG77" s="18"/>
      <c r="AH77" s="10"/>
      <c r="AI77" s="7">
        <v>0</v>
      </c>
      <c r="AJ77" s="250">
        <v>299.14</v>
      </c>
      <c r="AK77" s="187">
        <v>0</v>
      </c>
      <c r="AL77" s="7"/>
      <c r="AM77" s="7">
        <v>0</v>
      </c>
      <c r="AN77" s="7"/>
      <c r="AO77" s="18"/>
      <c r="AP77" s="10"/>
      <c r="AQ77" s="7"/>
      <c r="AR77" s="7"/>
      <c r="AS77" s="7"/>
      <c r="AT77" s="7"/>
      <c r="AU77" s="12"/>
      <c r="AV77" s="12"/>
      <c r="AW77" s="10"/>
      <c r="AX77" s="11"/>
      <c r="AY77" s="7"/>
      <c r="AZ77" s="10"/>
      <c r="BA77" s="11"/>
      <c r="BB77" s="10"/>
      <c r="BC77" s="7">
        <v>0</v>
      </c>
      <c r="BD77" s="247">
        <v>272.26</v>
      </c>
      <c r="BE77" s="187">
        <v>0</v>
      </c>
      <c r="BF77" s="7"/>
      <c r="BG77" s="7">
        <v>0</v>
      </c>
      <c r="BH77" s="7"/>
      <c r="BI77" s="11"/>
      <c r="BJ77" s="10"/>
      <c r="BK77" s="7"/>
      <c r="BL77" s="7"/>
      <c r="BM77" s="7"/>
      <c r="BN77" s="7"/>
      <c r="BO77" s="11"/>
      <c r="BP77" s="11"/>
      <c r="BQ77" s="11"/>
      <c r="BR77" s="11"/>
      <c r="BS77" s="7"/>
      <c r="BT77" s="11"/>
      <c r="BU77" s="11"/>
      <c r="BV77" s="11"/>
      <c r="BW77" s="11"/>
      <c r="BX77" s="7">
        <v>0</v>
      </c>
      <c r="BY77" s="247">
        <v>0</v>
      </c>
      <c r="BZ77" s="187">
        <v>0</v>
      </c>
      <c r="CA77" s="7"/>
      <c r="CB77" s="7">
        <v>0</v>
      </c>
      <c r="CC77" s="7"/>
      <c r="CD77" s="11"/>
      <c r="CE77" s="7"/>
      <c r="CF77" s="7"/>
      <c r="CG77" s="7"/>
      <c r="CH77" s="7"/>
      <c r="CI77" s="13">
        <v>0</v>
      </c>
      <c r="CJ77" s="189">
        <v>0</v>
      </c>
      <c r="CK77" s="13">
        <f t="shared" si="64"/>
        <v>0</v>
      </c>
      <c r="CL77" s="12">
        <v>0</v>
      </c>
      <c r="CM77" s="13">
        <v>1440</v>
      </c>
      <c r="CN77" s="14">
        <v>0</v>
      </c>
      <c r="CO77" s="13">
        <v>0</v>
      </c>
      <c r="CP77" s="189">
        <v>2249.79</v>
      </c>
      <c r="CQ77" s="13">
        <f t="shared" si="81"/>
        <v>0</v>
      </c>
      <c r="CR77" s="13">
        <v>0</v>
      </c>
      <c r="CS77" s="189">
        <v>445.51</v>
      </c>
      <c r="CT77" s="13">
        <f t="shared" si="89"/>
        <v>0</v>
      </c>
      <c r="CU77" s="13">
        <v>0</v>
      </c>
      <c r="CV77" s="189">
        <v>2249.79</v>
      </c>
      <c r="CW77" s="13">
        <f t="shared" si="82"/>
        <v>0</v>
      </c>
      <c r="CX77" s="13">
        <v>0</v>
      </c>
      <c r="CY77" s="189">
        <v>2249.79</v>
      </c>
      <c r="CZ77" s="13">
        <f t="shared" si="83"/>
        <v>0</v>
      </c>
      <c r="DA77" s="13">
        <v>0</v>
      </c>
      <c r="DB77" s="189">
        <v>464.26</v>
      </c>
      <c r="DC77" s="13">
        <f t="shared" si="84"/>
        <v>0</v>
      </c>
      <c r="DD77" s="13">
        <v>0</v>
      </c>
      <c r="DE77" s="189">
        <v>2249.79</v>
      </c>
      <c r="DF77" s="13">
        <f t="shared" si="85"/>
        <v>0</v>
      </c>
      <c r="DG77" s="13">
        <v>0</v>
      </c>
      <c r="DH77" s="189">
        <v>2249.79</v>
      </c>
      <c r="DI77" s="13">
        <f t="shared" si="86"/>
        <v>0</v>
      </c>
      <c r="DJ77" s="13">
        <v>0</v>
      </c>
      <c r="DK77" s="13">
        <v>504.26</v>
      </c>
      <c r="DL77" s="13">
        <f t="shared" si="87"/>
        <v>0</v>
      </c>
      <c r="DM77" s="13">
        <v>0</v>
      </c>
      <c r="DN77" s="192">
        <v>2249.79</v>
      </c>
      <c r="DO77" s="16">
        <f t="shared" si="88"/>
        <v>0</v>
      </c>
      <c r="DP77" s="196"/>
    </row>
    <row r="78" spans="1:120" ht="76.5" x14ac:dyDescent="0.25">
      <c r="A78" s="17" t="s">
        <v>96</v>
      </c>
      <c r="B78" s="9"/>
      <c r="C78" s="19" t="s">
        <v>101</v>
      </c>
      <c r="D78" s="9"/>
      <c r="E78" s="10"/>
      <c r="F78" s="11"/>
      <c r="G78" s="7"/>
      <c r="H78" s="10"/>
      <c r="I78" s="7"/>
      <c r="J78" s="10"/>
      <c r="K78" s="7">
        <v>0</v>
      </c>
      <c r="L78" s="241">
        <v>299.54000000000002</v>
      </c>
      <c r="M78" s="187">
        <v>0</v>
      </c>
      <c r="N78" s="7"/>
      <c r="O78" s="7">
        <f>K78*0.58</f>
        <v>0</v>
      </c>
      <c r="P78" s="7"/>
      <c r="Q78" s="7"/>
      <c r="R78" s="188"/>
      <c r="S78" s="7"/>
      <c r="T78" s="7"/>
      <c r="U78" s="7"/>
      <c r="V78" s="7"/>
      <c r="W78" s="7">
        <f t="shared" si="79"/>
        <v>0</v>
      </c>
      <c r="X78" s="247">
        <v>14</v>
      </c>
      <c r="Y78" s="187">
        <f t="shared" si="80"/>
        <v>0</v>
      </c>
      <c r="Z78" s="9"/>
      <c r="AA78" s="9"/>
      <c r="AB78" s="9"/>
      <c r="AC78" s="10"/>
      <c r="AD78" s="11"/>
      <c r="AE78" s="7"/>
      <c r="AF78" s="10"/>
      <c r="AG78" s="18"/>
      <c r="AH78" s="10"/>
      <c r="AI78" s="7">
        <v>0</v>
      </c>
      <c r="AJ78" s="250">
        <v>299.14</v>
      </c>
      <c r="AK78" s="187">
        <v>0</v>
      </c>
      <c r="AL78" s="7"/>
      <c r="AM78" s="7">
        <v>0</v>
      </c>
      <c r="AN78" s="7"/>
      <c r="AO78" s="18"/>
      <c r="AP78" s="10"/>
      <c r="AQ78" s="7"/>
      <c r="AR78" s="7"/>
      <c r="AS78" s="7"/>
      <c r="AT78" s="7"/>
      <c r="AU78" s="12"/>
      <c r="AV78" s="12"/>
      <c r="AW78" s="10"/>
      <c r="AX78" s="11"/>
      <c r="AY78" s="7"/>
      <c r="AZ78" s="10"/>
      <c r="BA78" s="11"/>
      <c r="BB78" s="10"/>
      <c r="BC78" s="7">
        <f>BC73</f>
        <v>642.6</v>
      </c>
      <c r="BD78" s="247">
        <v>272.26</v>
      </c>
      <c r="BE78" s="187">
        <v>174787.20000000001</v>
      </c>
      <c r="BF78" s="7">
        <v>443.39400000000001</v>
      </c>
      <c r="BG78" s="7">
        <v>443</v>
      </c>
      <c r="BH78" s="7"/>
      <c r="BI78" s="11"/>
      <c r="BJ78" s="10"/>
      <c r="BK78" s="7"/>
      <c r="BL78" s="7"/>
      <c r="BM78" s="7"/>
      <c r="BN78" s="7"/>
      <c r="BO78" s="11"/>
      <c r="BP78" s="11"/>
      <c r="BQ78" s="11"/>
      <c r="BR78" s="11"/>
      <c r="BS78" s="7"/>
      <c r="BT78" s="11"/>
      <c r="BU78" s="11"/>
      <c r="BV78" s="11"/>
      <c r="BW78" s="11"/>
      <c r="BX78" s="7">
        <v>0</v>
      </c>
      <c r="BY78" s="247">
        <v>0</v>
      </c>
      <c r="BZ78" s="187">
        <v>0</v>
      </c>
      <c r="CA78" s="7"/>
      <c r="CB78" s="7">
        <v>0</v>
      </c>
      <c r="CC78" s="7"/>
      <c r="CD78" s="11"/>
      <c r="CE78" s="7"/>
      <c r="CF78" s="7"/>
      <c r="CG78" s="7"/>
      <c r="CH78" s="7"/>
      <c r="CI78" s="13">
        <v>0</v>
      </c>
      <c r="CJ78" s="189">
        <v>0</v>
      </c>
      <c r="CK78" s="13">
        <f t="shared" si="64"/>
        <v>0</v>
      </c>
      <c r="CL78" s="12">
        <v>0</v>
      </c>
      <c r="CM78" s="13">
        <v>1440</v>
      </c>
      <c r="CN78" s="14">
        <v>0</v>
      </c>
      <c r="CO78" s="13">
        <v>0</v>
      </c>
      <c r="CP78" s="189">
        <v>2249.79</v>
      </c>
      <c r="CQ78" s="13">
        <f t="shared" si="81"/>
        <v>0</v>
      </c>
      <c r="CR78" s="13">
        <v>0</v>
      </c>
      <c r="CS78" s="189">
        <v>445.51</v>
      </c>
      <c r="CT78" s="13">
        <f t="shared" si="89"/>
        <v>0</v>
      </c>
      <c r="CU78" s="13">
        <v>0</v>
      </c>
      <c r="CV78" s="189">
        <v>2249.79</v>
      </c>
      <c r="CW78" s="13">
        <f t="shared" si="82"/>
        <v>0</v>
      </c>
      <c r="CX78" s="13">
        <v>0</v>
      </c>
      <c r="CY78" s="189">
        <v>2249.79</v>
      </c>
      <c r="CZ78" s="13">
        <f t="shared" si="83"/>
        <v>0</v>
      </c>
      <c r="DA78" s="13">
        <v>0</v>
      </c>
      <c r="DB78" s="189">
        <v>464.26</v>
      </c>
      <c r="DC78" s="13">
        <f t="shared" si="84"/>
        <v>0</v>
      </c>
      <c r="DD78" s="13">
        <v>0</v>
      </c>
      <c r="DE78" s="189">
        <v>2249.79</v>
      </c>
      <c r="DF78" s="13">
        <f t="shared" si="85"/>
        <v>0</v>
      </c>
      <c r="DG78" s="13">
        <v>0</v>
      </c>
      <c r="DH78" s="189">
        <v>2249.79</v>
      </c>
      <c r="DI78" s="13">
        <f t="shared" si="86"/>
        <v>0</v>
      </c>
      <c r="DJ78" s="13">
        <v>0</v>
      </c>
      <c r="DK78" s="13">
        <v>504.26</v>
      </c>
      <c r="DL78" s="13">
        <f t="shared" si="87"/>
        <v>0</v>
      </c>
      <c r="DM78" s="13">
        <v>0</v>
      </c>
      <c r="DN78" s="192">
        <v>2249.79</v>
      </c>
      <c r="DO78" s="16">
        <f t="shared" si="88"/>
        <v>0</v>
      </c>
      <c r="DP78" s="196"/>
    </row>
    <row r="79" spans="1:120" s="143" customFormat="1" x14ac:dyDescent="0.25">
      <c r="A79" s="218" t="s">
        <v>102</v>
      </c>
      <c r="B79" s="112">
        <v>3398</v>
      </c>
      <c r="C79" s="220"/>
      <c r="D79" s="112">
        <v>6900</v>
      </c>
      <c r="E79" s="113">
        <f t="shared" si="74"/>
        <v>0.492463768115942</v>
      </c>
      <c r="F79" s="114">
        <v>4</v>
      </c>
      <c r="G79" s="115">
        <f>$B79*$G$98/$B$95</f>
        <v>2732.7544985900413</v>
      </c>
      <c r="H79" s="113">
        <f t="shared" si="0"/>
        <v>0.39605137660725237</v>
      </c>
      <c r="I79" s="115">
        <f>D79*55%</f>
        <v>3795.0000000000005</v>
      </c>
      <c r="J79" s="113">
        <f t="shared" si="1"/>
        <v>0.55000000000000004</v>
      </c>
      <c r="K79" s="115">
        <f t="shared" si="43"/>
        <v>2884.2000000000003</v>
      </c>
      <c r="L79" s="241">
        <v>299.54000000000002</v>
      </c>
      <c r="M79" s="119">
        <f t="shared" si="2"/>
        <v>863933.26800000016</v>
      </c>
      <c r="N79" s="115">
        <f t="shared" si="3"/>
        <v>3036.0000000000005</v>
      </c>
      <c r="O79" s="115">
        <f t="shared" si="44"/>
        <v>1672.836</v>
      </c>
      <c r="P79" s="115">
        <f t="shared" si="45"/>
        <v>2770.3500000000004</v>
      </c>
      <c r="Q79" s="115">
        <f>D79*67%</f>
        <v>4623</v>
      </c>
      <c r="R79" s="116">
        <f t="shared" si="4"/>
        <v>0.67</v>
      </c>
      <c r="S79" s="115">
        <f t="shared" si="5"/>
        <v>3513.48</v>
      </c>
      <c r="T79" s="115">
        <f t="shared" si="6"/>
        <v>3698.4</v>
      </c>
      <c r="U79" s="115">
        <f t="shared" si="46"/>
        <v>2037.8183999999999</v>
      </c>
      <c r="V79" s="115">
        <f t="shared" si="7"/>
        <v>3374.79</v>
      </c>
      <c r="W79" s="115">
        <f t="shared" si="79"/>
        <v>201.89400000000003</v>
      </c>
      <c r="X79" s="246">
        <v>14</v>
      </c>
      <c r="Y79" s="119">
        <f t="shared" si="80"/>
        <v>2826.5160000000005</v>
      </c>
      <c r="Z79" s="112"/>
      <c r="AA79" s="112"/>
      <c r="AB79" s="112">
        <v>800</v>
      </c>
      <c r="AC79" s="113">
        <f t="shared" si="10"/>
        <v>0</v>
      </c>
      <c r="AD79" s="114">
        <v>9</v>
      </c>
      <c r="AE79" s="115">
        <v>100</v>
      </c>
      <c r="AF79" s="113">
        <f t="shared" si="11"/>
        <v>0.125</v>
      </c>
      <c r="AG79" s="114">
        <v>187</v>
      </c>
      <c r="AH79" s="113">
        <f t="shared" si="12"/>
        <v>0.23375000000000001</v>
      </c>
      <c r="AI79" s="115">
        <f t="shared" si="47"/>
        <v>140.25</v>
      </c>
      <c r="AJ79" s="250">
        <v>299.14</v>
      </c>
      <c r="AK79" s="119">
        <f t="shared" si="13"/>
        <v>41954.384999999995</v>
      </c>
      <c r="AL79" s="115">
        <f t="shared" si="14"/>
        <v>151.47</v>
      </c>
      <c r="AM79" s="115">
        <f t="shared" si="15"/>
        <v>92.564999999999998</v>
      </c>
      <c r="AN79" s="115">
        <f t="shared" si="16"/>
        <v>158.94999999999999</v>
      </c>
      <c r="AO79" s="114">
        <v>457</v>
      </c>
      <c r="AP79" s="113">
        <f t="shared" si="18"/>
        <v>0.57125000000000004</v>
      </c>
      <c r="AQ79" s="115">
        <f t="shared" si="48"/>
        <v>342.75</v>
      </c>
      <c r="AR79" s="115">
        <f t="shared" si="49"/>
        <v>370.17</v>
      </c>
      <c r="AS79" s="115">
        <f t="shared" si="19"/>
        <v>233.07000000000002</v>
      </c>
      <c r="AT79" s="115">
        <f t="shared" si="20"/>
        <v>402.16</v>
      </c>
      <c r="AU79" s="118">
        <v>525</v>
      </c>
      <c r="AV79" s="118">
        <v>1800</v>
      </c>
      <c r="AW79" s="113">
        <f t="shared" si="21"/>
        <v>0.29166666666666669</v>
      </c>
      <c r="AX79" s="114">
        <v>6</v>
      </c>
      <c r="AY79" s="115">
        <f>AV79*29%</f>
        <v>522</v>
      </c>
      <c r="AZ79" s="113">
        <f t="shared" si="22"/>
        <v>0.28999999999999998</v>
      </c>
      <c r="BA79" s="114">
        <f>AV79*29%</f>
        <v>522</v>
      </c>
      <c r="BB79" s="113">
        <f t="shared" si="23"/>
        <v>0.28999999999999998</v>
      </c>
      <c r="BC79" s="115">
        <f t="shared" si="50"/>
        <v>365.4</v>
      </c>
      <c r="BD79" s="247">
        <v>272.26</v>
      </c>
      <c r="BE79" s="119">
        <f t="shared" si="24"/>
        <v>99483.803999999989</v>
      </c>
      <c r="BF79" s="115">
        <f t="shared" si="51"/>
        <v>375.84</v>
      </c>
      <c r="BG79" s="115">
        <f t="shared" si="25"/>
        <v>252.12599999999998</v>
      </c>
      <c r="BH79" s="115">
        <f t="shared" si="26"/>
        <v>433.26</v>
      </c>
      <c r="BI79" s="114">
        <f>AV79*29%</f>
        <v>522</v>
      </c>
      <c r="BJ79" s="113">
        <f t="shared" si="27"/>
        <v>0.28999999999999998</v>
      </c>
      <c r="BK79" s="115">
        <f t="shared" si="52"/>
        <v>370.62</v>
      </c>
      <c r="BL79" s="115">
        <f t="shared" si="53"/>
        <v>375.84</v>
      </c>
      <c r="BM79" s="115">
        <f t="shared" si="90"/>
        <v>255.72779999999997</v>
      </c>
      <c r="BN79" s="115">
        <f t="shared" si="29"/>
        <v>433.26</v>
      </c>
      <c r="BO79" s="114"/>
      <c r="BP79" s="114"/>
      <c r="BQ79" s="114"/>
      <c r="BR79" s="114"/>
      <c r="BS79" s="114">
        <f>800*6.5%</f>
        <v>52</v>
      </c>
      <c r="BT79" s="114"/>
      <c r="BU79" s="114">
        <v>10</v>
      </c>
      <c r="BV79" s="114"/>
      <c r="BW79" s="114">
        <v>0</v>
      </c>
      <c r="BX79" s="115">
        <v>0</v>
      </c>
      <c r="BY79" s="246">
        <v>0</v>
      </c>
      <c r="BZ79" s="119">
        <f t="shared" si="30"/>
        <v>0</v>
      </c>
      <c r="CA79" s="115"/>
      <c r="CB79" s="115">
        <v>0</v>
      </c>
      <c r="CC79" s="115"/>
      <c r="CD79" s="114"/>
      <c r="CE79" s="115"/>
      <c r="CF79" s="115"/>
      <c r="CG79" s="115"/>
      <c r="CH79" s="115"/>
      <c r="CI79" s="139">
        <v>0</v>
      </c>
      <c r="CJ79" s="140">
        <v>0</v>
      </c>
      <c r="CK79" s="139">
        <f t="shared" si="64"/>
        <v>0</v>
      </c>
      <c r="CL79" s="139"/>
      <c r="CM79" s="139">
        <v>1440</v>
      </c>
      <c r="CN79" s="185">
        <v>150596</v>
      </c>
      <c r="CO79" s="139">
        <f>SUM(CO80:CO82)</f>
        <v>13</v>
      </c>
      <c r="CP79" s="140">
        <v>2249.79</v>
      </c>
      <c r="CQ79" s="139">
        <f t="shared" si="81"/>
        <v>29247.27</v>
      </c>
      <c r="CR79" s="139">
        <v>0</v>
      </c>
      <c r="CS79" s="140">
        <v>445.51</v>
      </c>
      <c r="CT79" s="139">
        <f t="shared" si="89"/>
        <v>0</v>
      </c>
      <c r="CU79" s="139">
        <v>0</v>
      </c>
      <c r="CV79" s="140">
        <v>2249.79</v>
      </c>
      <c r="CW79" s="139">
        <f t="shared" si="82"/>
        <v>0</v>
      </c>
      <c r="CX79" s="139">
        <v>0</v>
      </c>
      <c r="CY79" s="140">
        <v>2249.79</v>
      </c>
      <c r="CZ79" s="139">
        <f t="shared" si="83"/>
        <v>0</v>
      </c>
      <c r="DA79" s="139">
        <v>0</v>
      </c>
      <c r="DB79" s="140">
        <v>464.26</v>
      </c>
      <c r="DC79" s="139">
        <f t="shared" si="84"/>
        <v>0</v>
      </c>
      <c r="DD79" s="139">
        <v>0</v>
      </c>
      <c r="DE79" s="140">
        <v>2249.79</v>
      </c>
      <c r="DF79" s="139">
        <f t="shared" si="85"/>
        <v>0</v>
      </c>
      <c r="DG79" s="139">
        <v>0</v>
      </c>
      <c r="DH79" s="140">
        <v>2249.79</v>
      </c>
      <c r="DI79" s="139">
        <f t="shared" si="86"/>
        <v>0</v>
      </c>
      <c r="DJ79" s="139">
        <v>0</v>
      </c>
      <c r="DK79" s="139">
        <v>504.26</v>
      </c>
      <c r="DL79" s="139">
        <f t="shared" si="87"/>
        <v>0</v>
      </c>
      <c r="DM79" s="139">
        <v>0</v>
      </c>
      <c r="DN79" s="140">
        <v>2249.79</v>
      </c>
      <c r="DO79" s="205">
        <f t="shared" si="88"/>
        <v>0</v>
      </c>
      <c r="DP79" s="197"/>
    </row>
    <row r="80" spans="1:120" ht="25.5" x14ac:dyDescent="0.25">
      <c r="A80" s="17" t="s">
        <v>102</v>
      </c>
      <c r="B80" s="9"/>
      <c r="C80" s="19" t="s">
        <v>40</v>
      </c>
      <c r="D80" s="9"/>
      <c r="E80" s="10"/>
      <c r="F80" s="11"/>
      <c r="G80" s="7"/>
      <c r="H80" s="10"/>
      <c r="I80" s="7"/>
      <c r="J80" s="10"/>
      <c r="K80" s="7">
        <v>0</v>
      </c>
      <c r="L80" s="241">
        <v>299.54000000000002</v>
      </c>
      <c r="M80" s="187">
        <v>0</v>
      </c>
      <c r="N80" s="7"/>
      <c r="O80" s="7">
        <v>0</v>
      </c>
      <c r="P80" s="7"/>
      <c r="Q80" s="7"/>
      <c r="R80" s="188"/>
      <c r="S80" s="7"/>
      <c r="T80" s="7"/>
      <c r="U80" s="7"/>
      <c r="V80" s="7"/>
      <c r="W80" s="7">
        <f t="shared" si="79"/>
        <v>0</v>
      </c>
      <c r="X80" s="247">
        <v>14</v>
      </c>
      <c r="Y80" s="187">
        <f t="shared" si="80"/>
        <v>0</v>
      </c>
      <c r="Z80" s="9"/>
      <c r="AA80" s="9"/>
      <c r="AB80" s="9"/>
      <c r="AC80" s="10"/>
      <c r="AD80" s="11"/>
      <c r="AE80" s="7"/>
      <c r="AF80" s="10"/>
      <c r="AG80" s="11"/>
      <c r="AH80" s="10"/>
      <c r="AI80" s="7">
        <v>0</v>
      </c>
      <c r="AJ80" s="250">
        <v>299.14</v>
      </c>
      <c r="AK80" s="187">
        <v>0</v>
      </c>
      <c r="AL80" s="7"/>
      <c r="AM80" s="7">
        <v>0</v>
      </c>
      <c r="AN80" s="7"/>
      <c r="AO80" s="11"/>
      <c r="AP80" s="10"/>
      <c r="AQ80" s="7"/>
      <c r="AR80" s="7"/>
      <c r="AS80" s="7"/>
      <c r="AT80" s="7"/>
      <c r="AU80" s="12"/>
      <c r="AV80" s="12"/>
      <c r="AW80" s="10"/>
      <c r="AX80" s="11"/>
      <c r="AY80" s="7"/>
      <c r="AZ80" s="10"/>
      <c r="BA80" s="11"/>
      <c r="BB80" s="10"/>
      <c r="BC80" s="7">
        <f>BC79</f>
        <v>365.4</v>
      </c>
      <c r="BD80" s="247">
        <v>272.26</v>
      </c>
      <c r="BE80" s="187">
        <f>BC80*BD80</f>
        <v>99483.803999999989</v>
      </c>
      <c r="BF80" s="7"/>
      <c r="BG80" s="7">
        <f>BC80*0.69</f>
        <v>252.12599999999998</v>
      </c>
      <c r="BH80" s="7"/>
      <c r="BI80" s="11"/>
      <c r="BJ80" s="10"/>
      <c r="BK80" s="7"/>
      <c r="BL80" s="7"/>
      <c r="BM80" s="7"/>
      <c r="BN80" s="7"/>
      <c r="BO80" s="11"/>
      <c r="BP80" s="11"/>
      <c r="BQ80" s="11"/>
      <c r="BR80" s="11"/>
      <c r="BS80" s="11"/>
      <c r="BT80" s="11"/>
      <c r="BU80" s="11"/>
      <c r="BV80" s="11"/>
      <c r="BW80" s="11"/>
      <c r="BX80" s="7">
        <v>0</v>
      </c>
      <c r="BY80" s="247">
        <v>0</v>
      </c>
      <c r="BZ80" s="187">
        <v>0</v>
      </c>
      <c r="CA80" s="7"/>
      <c r="CB80" s="7">
        <v>0</v>
      </c>
      <c r="CC80" s="7"/>
      <c r="CD80" s="11"/>
      <c r="CE80" s="7"/>
      <c r="CF80" s="7"/>
      <c r="CG80" s="7"/>
      <c r="CH80" s="7"/>
      <c r="CI80" s="13">
        <v>0</v>
      </c>
      <c r="CJ80" s="189">
        <v>0</v>
      </c>
      <c r="CK80" s="13">
        <f t="shared" si="64"/>
        <v>0</v>
      </c>
      <c r="CL80" s="13"/>
      <c r="CM80" s="13">
        <v>1440</v>
      </c>
      <c r="CN80" s="14">
        <v>0</v>
      </c>
      <c r="CO80" s="13">
        <v>0</v>
      </c>
      <c r="CP80" s="189">
        <v>2249.79</v>
      </c>
      <c r="CQ80" s="13">
        <f t="shared" si="81"/>
        <v>0</v>
      </c>
      <c r="CR80" s="13">
        <v>0</v>
      </c>
      <c r="CS80" s="189">
        <v>445.51</v>
      </c>
      <c r="CT80" s="13">
        <f t="shared" si="89"/>
        <v>0</v>
      </c>
      <c r="CU80" s="13">
        <v>0</v>
      </c>
      <c r="CV80" s="189">
        <v>2249.79</v>
      </c>
      <c r="CW80" s="13">
        <f t="shared" si="82"/>
        <v>0</v>
      </c>
      <c r="CX80" s="13">
        <v>0</v>
      </c>
      <c r="CY80" s="189">
        <v>2249.79</v>
      </c>
      <c r="CZ80" s="13">
        <f t="shared" si="83"/>
        <v>0</v>
      </c>
      <c r="DA80" s="13">
        <v>0</v>
      </c>
      <c r="DB80" s="189">
        <v>464.26</v>
      </c>
      <c r="DC80" s="13">
        <f t="shared" si="84"/>
        <v>0</v>
      </c>
      <c r="DD80" s="13">
        <v>0</v>
      </c>
      <c r="DE80" s="189">
        <v>2249.79</v>
      </c>
      <c r="DF80" s="13">
        <f t="shared" si="85"/>
        <v>0</v>
      </c>
      <c r="DG80" s="13">
        <v>0</v>
      </c>
      <c r="DH80" s="189">
        <v>2249.79</v>
      </c>
      <c r="DI80" s="13">
        <f t="shared" si="86"/>
        <v>0</v>
      </c>
      <c r="DJ80" s="13">
        <v>0</v>
      </c>
      <c r="DK80" s="13">
        <v>504.26</v>
      </c>
      <c r="DL80" s="13">
        <f t="shared" si="87"/>
        <v>0</v>
      </c>
      <c r="DM80" s="13">
        <v>0</v>
      </c>
      <c r="DN80" s="189">
        <v>2249.79</v>
      </c>
      <c r="DO80" s="16">
        <f t="shared" si="88"/>
        <v>0</v>
      </c>
      <c r="DP80" s="196"/>
    </row>
    <row r="81" spans="1:120" ht="51" x14ac:dyDescent="0.25">
      <c r="A81" s="17" t="s">
        <v>102</v>
      </c>
      <c r="B81" s="9"/>
      <c r="C81" s="19" t="s">
        <v>103</v>
      </c>
      <c r="D81" s="9"/>
      <c r="E81" s="10"/>
      <c r="F81" s="11"/>
      <c r="G81" s="7"/>
      <c r="H81" s="10"/>
      <c r="I81" s="7"/>
      <c r="J81" s="10"/>
      <c r="K81" s="7">
        <f>K79*0.44+300</f>
        <v>1569.0480000000002</v>
      </c>
      <c r="L81" s="241">
        <v>299.54000000000002</v>
      </c>
      <c r="M81" s="187">
        <f>K81*L81</f>
        <v>469992.63792000012</v>
      </c>
      <c r="N81" s="7"/>
      <c r="O81" s="7">
        <f>K81*0.58</f>
        <v>910.04784000000006</v>
      </c>
      <c r="P81" s="7"/>
      <c r="Q81" s="7"/>
      <c r="R81" s="188"/>
      <c r="S81" s="7"/>
      <c r="T81" s="7"/>
      <c r="U81" s="7"/>
      <c r="V81" s="7"/>
      <c r="W81" s="7">
        <f t="shared" si="79"/>
        <v>109.83336000000003</v>
      </c>
      <c r="X81" s="247">
        <v>14</v>
      </c>
      <c r="Y81" s="187">
        <f t="shared" si="80"/>
        <v>1537.6670400000003</v>
      </c>
      <c r="Z81" s="9"/>
      <c r="AA81" s="9"/>
      <c r="AB81" s="9"/>
      <c r="AC81" s="10"/>
      <c r="AD81" s="11"/>
      <c r="AE81" s="7"/>
      <c r="AF81" s="10"/>
      <c r="AG81" s="11"/>
      <c r="AH81" s="10"/>
      <c r="AI81" s="7">
        <v>0</v>
      </c>
      <c r="AJ81" s="250">
        <v>299.14</v>
      </c>
      <c r="AK81" s="187">
        <v>0</v>
      </c>
      <c r="AL81" s="7"/>
      <c r="AM81" s="7">
        <v>0</v>
      </c>
      <c r="AN81" s="7"/>
      <c r="AO81" s="11"/>
      <c r="AP81" s="10"/>
      <c r="AQ81" s="7"/>
      <c r="AR81" s="7"/>
      <c r="AS81" s="7"/>
      <c r="AT81" s="7"/>
      <c r="AU81" s="12"/>
      <c r="AV81" s="12"/>
      <c r="AW81" s="10"/>
      <c r="AX81" s="11"/>
      <c r="AY81" s="7"/>
      <c r="AZ81" s="10"/>
      <c r="BA81" s="11"/>
      <c r="BB81" s="10"/>
      <c r="BC81" s="7">
        <v>0</v>
      </c>
      <c r="BD81" s="247">
        <v>272.26</v>
      </c>
      <c r="BE81" s="187">
        <v>0</v>
      </c>
      <c r="BF81" s="7"/>
      <c r="BG81" s="7">
        <v>0</v>
      </c>
      <c r="BH81" s="7"/>
      <c r="BI81" s="11"/>
      <c r="BJ81" s="10"/>
      <c r="BK81" s="7"/>
      <c r="BL81" s="7"/>
      <c r="BM81" s="7"/>
      <c r="BN81" s="7"/>
      <c r="BO81" s="11"/>
      <c r="BP81" s="11"/>
      <c r="BQ81" s="11"/>
      <c r="BR81" s="11"/>
      <c r="BS81" s="11"/>
      <c r="BT81" s="11"/>
      <c r="BU81" s="11"/>
      <c r="BV81" s="11"/>
      <c r="BW81" s="11"/>
      <c r="BX81" s="7">
        <v>0</v>
      </c>
      <c r="BY81" s="247">
        <v>0</v>
      </c>
      <c r="BZ81" s="187">
        <v>0</v>
      </c>
      <c r="CA81" s="7"/>
      <c r="CB81" s="7">
        <v>0</v>
      </c>
      <c r="CC81" s="7"/>
      <c r="CD81" s="11"/>
      <c r="CE81" s="7"/>
      <c r="CF81" s="7"/>
      <c r="CG81" s="7"/>
      <c r="CH81" s="7"/>
      <c r="CI81" s="13">
        <v>0</v>
      </c>
      <c r="CJ81" s="189">
        <v>0</v>
      </c>
      <c r="CK81" s="13">
        <f t="shared" si="64"/>
        <v>0</v>
      </c>
      <c r="CL81" s="13"/>
      <c r="CM81" s="13">
        <v>1440</v>
      </c>
      <c r="CN81" s="14">
        <v>0</v>
      </c>
      <c r="CO81" s="13">
        <v>0</v>
      </c>
      <c r="CP81" s="189">
        <v>2249.79</v>
      </c>
      <c r="CQ81" s="13">
        <f t="shared" si="81"/>
        <v>0</v>
      </c>
      <c r="CR81" s="13">
        <v>0</v>
      </c>
      <c r="CS81" s="189">
        <v>445.51</v>
      </c>
      <c r="CT81" s="13">
        <f t="shared" si="89"/>
        <v>0</v>
      </c>
      <c r="CU81" s="13">
        <v>0</v>
      </c>
      <c r="CV81" s="189">
        <v>2249.79</v>
      </c>
      <c r="CW81" s="13">
        <f t="shared" si="82"/>
        <v>0</v>
      </c>
      <c r="CX81" s="13">
        <v>0</v>
      </c>
      <c r="CY81" s="189">
        <v>2249.79</v>
      </c>
      <c r="CZ81" s="13">
        <f t="shared" si="83"/>
        <v>0</v>
      </c>
      <c r="DA81" s="13">
        <v>0</v>
      </c>
      <c r="DB81" s="189">
        <v>464.26</v>
      </c>
      <c r="DC81" s="13">
        <f t="shared" si="84"/>
        <v>0</v>
      </c>
      <c r="DD81" s="13">
        <v>0</v>
      </c>
      <c r="DE81" s="189">
        <v>2249.79</v>
      </c>
      <c r="DF81" s="13">
        <f t="shared" si="85"/>
        <v>0</v>
      </c>
      <c r="DG81" s="13">
        <v>0</v>
      </c>
      <c r="DH81" s="189">
        <v>2249.79</v>
      </c>
      <c r="DI81" s="13">
        <f t="shared" si="86"/>
        <v>0</v>
      </c>
      <c r="DJ81" s="13">
        <v>0</v>
      </c>
      <c r="DK81" s="13">
        <v>504.26</v>
      </c>
      <c r="DL81" s="13">
        <f t="shared" si="87"/>
        <v>0</v>
      </c>
      <c r="DM81" s="13">
        <v>0</v>
      </c>
      <c r="DN81" s="189">
        <v>2249.79</v>
      </c>
      <c r="DO81" s="16">
        <f t="shared" si="88"/>
        <v>0</v>
      </c>
      <c r="DP81" s="196"/>
    </row>
    <row r="82" spans="1:120" ht="38.25" x14ac:dyDescent="0.25">
      <c r="A82" s="17" t="s">
        <v>102</v>
      </c>
      <c r="B82" s="9"/>
      <c r="C82" s="19" t="s">
        <v>104</v>
      </c>
      <c r="D82" s="9"/>
      <c r="E82" s="10"/>
      <c r="F82" s="11"/>
      <c r="G82" s="7"/>
      <c r="H82" s="10"/>
      <c r="I82" s="7"/>
      <c r="J82" s="10"/>
      <c r="K82" s="7">
        <f>K79*0.56-300</f>
        <v>1315.1520000000003</v>
      </c>
      <c r="L82" s="241">
        <v>299.54000000000002</v>
      </c>
      <c r="M82" s="187">
        <f>K82*L82</f>
        <v>393940.63008000009</v>
      </c>
      <c r="N82" s="7"/>
      <c r="O82" s="7">
        <f>K82*0.58</f>
        <v>762.78816000000006</v>
      </c>
      <c r="P82" s="7"/>
      <c r="Q82" s="7"/>
      <c r="R82" s="188"/>
      <c r="S82" s="7"/>
      <c r="T82" s="7"/>
      <c r="U82" s="7"/>
      <c r="V82" s="7"/>
      <c r="W82" s="7">
        <f t="shared" si="79"/>
        <v>92.060640000000021</v>
      </c>
      <c r="X82" s="247">
        <v>14</v>
      </c>
      <c r="Y82" s="187">
        <f t="shared" si="80"/>
        <v>1288.8489600000003</v>
      </c>
      <c r="Z82" s="9"/>
      <c r="AA82" s="9"/>
      <c r="AB82" s="9"/>
      <c r="AC82" s="10"/>
      <c r="AD82" s="11"/>
      <c r="AE82" s="7"/>
      <c r="AF82" s="10"/>
      <c r="AG82" s="11"/>
      <c r="AH82" s="10"/>
      <c r="AI82" s="7">
        <f>AI79</f>
        <v>140.25</v>
      </c>
      <c r="AJ82" s="250">
        <v>299.14</v>
      </c>
      <c r="AK82" s="187">
        <f>AI82*AJ82</f>
        <v>41954.384999999995</v>
      </c>
      <c r="AL82" s="7"/>
      <c r="AM82" s="7">
        <f>AM79</f>
        <v>92.564999999999998</v>
      </c>
      <c r="AN82" s="7"/>
      <c r="AO82" s="11"/>
      <c r="AP82" s="10"/>
      <c r="AQ82" s="7"/>
      <c r="AR82" s="7"/>
      <c r="AS82" s="7"/>
      <c r="AT82" s="7"/>
      <c r="AU82" s="12"/>
      <c r="AV82" s="12"/>
      <c r="AW82" s="10"/>
      <c r="AX82" s="11"/>
      <c r="AY82" s="7"/>
      <c r="AZ82" s="10"/>
      <c r="BA82" s="11"/>
      <c r="BB82" s="10"/>
      <c r="BC82" s="7">
        <v>0</v>
      </c>
      <c r="BD82" s="247">
        <v>272.26</v>
      </c>
      <c r="BE82" s="187">
        <v>0</v>
      </c>
      <c r="BF82" s="7"/>
      <c r="BG82" s="7">
        <v>0</v>
      </c>
      <c r="BH82" s="7"/>
      <c r="BI82" s="11"/>
      <c r="BJ82" s="10"/>
      <c r="BK82" s="7"/>
      <c r="BL82" s="7"/>
      <c r="BM82" s="7"/>
      <c r="BN82" s="7"/>
      <c r="BO82" s="11"/>
      <c r="BP82" s="11"/>
      <c r="BQ82" s="11"/>
      <c r="BR82" s="11"/>
      <c r="BS82" s="11"/>
      <c r="BT82" s="11"/>
      <c r="BU82" s="11"/>
      <c r="BV82" s="11"/>
      <c r="BW82" s="11"/>
      <c r="BX82" s="7">
        <v>0</v>
      </c>
      <c r="BY82" s="247">
        <v>0</v>
      </c>
      <c r="BZ82" s="187">
        <v>0</v>
      </c>
      <c r="CA82" s="7"/>
      <c r="CB82" s="7">
        <v>0</v>
      </c>
      <c r="CC82" s="7"/>
      <c r="CD82" s="11"/>
      <c r="CE82" s="7"/>
      <c r="CF82" s="7"/>
      <c r="CG82" s="7"/>
      <c r="CH82" s="7"/>
      <c r="CI82" s="13">
        <v>0</v>
      </c>
      <c r="CJ82" s="189">
        <v>0</v>
      </c>
      <c r="CK82" s="13"/>
      <c r="CL82" s="13" t="s">
        <v>135</v>
      </c>
      <c r="CM82" s="13">
        <v>1440</v>
      </c>
      <c r="CN82" s="14">
        <v>150596</v>
      </c>
      <c r="CO82" s="13">
        <v>13</v>
      </c>
      <c r="CP82" s="189">
        <v>2249.79</v>
      </c>
      <c r="CQ82" s="13">
        <f t="shared" si="81"/>
        <v>29247.27</v>
      </c>
      <c r="CR82" s="13">
        <v>0</v>
      </c>
      <c r="CS82" s="189">
        <v>445.51</v>
      </c>
      <c r="CT82" s="13">
        <f t="shared" si="89"/>
        <v>0</v>
      </c>
      <c r="CU82" s="13">
        <v>0</v>
      </c>
      <c r="CV82" s="189">
        <v>2249.79</v>
      </c>
      <c r="CW82" s="13">
        <f t="shared" si="82"/>
        <v>0</v>
      </c>
      <c r="CX82" s="13">
        <v>0</v>
      </c>
      <c r="CY82" s="189">
        <v>2249.79</v>
      </c>
      <c r="CZ82" s="13">
        <f t="shared" si="83"/>
        <v>0</v>
      </c>
      <c r="DA82" s="13">
        <v>0</v>
      </c>
      <c r="DB82" s="189">
        <v>464.26</v>
      </c>
      <c r="DC82" s="13">
        <f t="shared" si="84"/>
        <v>0</v>
      </c>
      <c r="DD82" s="13">
        <v>0</v>
      </c>
      <c r="DE82" s="189">
        <v>2249.79</v>
      </c>
      <c r="DF82" s="13">
        <f t="shared" si="85"/>
        <v>0</v>
      </c>
      <c r="DG82" s="13">
        <v>0</v>
      </c>
      <c r="DH82" s="189">
        <v>2249.79</v>
      </c>
      <c r="DI82" s="13">
        <f t="shared" si="86"/>
        <v>0</v>
      </c>
      <c r="DJ82" s="13">
        <v>0</v>
      </c>
      <c r="DK82" s="13">
        <v>504.26</v>
      </c>
      <c r="DL82" s="13">
        <f t="shared" si="87"/>
        <v>0</v>
      </c>
      <c r="DM82" s="13">
        <v>0</v>
      </c>
      <c r="DN82" s="189">
        <v>2249.79</v>
      </c>
      <c r="DO82" s="16">
        <f t="shared" si="88"/>
        <v>0</v>
      </c>
      <c r="DP82" s="196"/>
    </row>
    <row r="83" spans="1:120" s="143" customFormat="1" x14ac:dyDescent="0.25">
      <c r="A83" s="218" t="s">
        <v>105</v>
      </c>
      <c r="B83" s="112">
        <v>3091</v>
      </c>
      <c r="C83" s="220"/>
      <c r="D83" s="112">
        <v>3600</v>
      </c>
      <c r="E83" s="113">
        <f t="shared" si="74"/>
        <v>0.8586111111111111</v>
      </c>
      <c r="F83" s="114">
        <v>-3</v>
      </c>
      <c r="G83" s="115">
        <f>$D83*60%</f>
        <v>2160</v>
      </c>
      <c r="H83" s="113">
        <f t="shared" si="0"/>
        <v>0.6</v>
      </c>
      <c r="I83" s="115">
        <v>2160</v>
      </c>
      <c r="J83" s="113">
        <f t="shared" si="1"/>
        <v>0.6</v>
      </c>
      <c r="K83" s="115">
        <f t="shared" si="43"/>
        <v>1641.6</v>
      </c>
      <c r="L83" s="241">
        <v>299.54000000000002</v>
      </c>
      <c r="M83" s="119">
        <f t="shared" si="2"/>
        <v>491724.864</v>
      </c>
      <c r="N83" s="115">
        <f t="shared" si="3"/>
        <v>1728</v>
      </c>
      <c r="O83" s="115">
        <f t="shared" si="44"/>
        <v>952.12799999999993</v>
      </c>
      <c r="P83" s="115">
        <f t="shared" si="45"/>
        <v>1576.8</v>
      </c>
      <c r="Q83" s="115">
        <f>D83*64%</f>
        <v>2304</v>
      </c>
      <c r="R83" s="116">
        <f t="shared" si="4"/>
        <v>0.64</v>
      </c>
      <c r="S83" s="115">
        <f t="shared" si="5"/>
        <v>1751.04</v>
      </c>
      <c r="T83" s="115">
        <f t="shared" si="6"/>
        <v>1843.2</v>
      </c>
      <c r="U83" s="115">
        <f t="shared" si="46"/>
        <v>1015.6031999999999</v>
      </c>
      <c r="V83" s="115">
        <f t="shared" si="7"/>
        <v>1681.92</v>
      </c>
      <c r="W83" s="115">
        <f t="shared" si="79"/>
        <v>114.91200000000001</v>
      </c>
      <c r="X83" s="246">
        <v>14</v>
      </c>
      <c r="Y83" s="119">
        <f t="shared" si="80"/>
        <v>1608.768</v>
      </c>
      <c r="Z83" s="112">
        <v>906</v>
      </c>
      <c r="AA83" s="112"/>
      <c r="AB83" s="112">
        <v>800</v>
      </c>
      <c r="AC83" s="113">
        <f t="shared" si="10"/>
        <v>1.1325000000000001</v>
      </c>
      <c r="AD83" s="114">
        <v>-2</v>
      </c>
      <c r="AE83" s="115">
        <v>460</v>
      </c>
      <c r="AF83" s="113">
        <f t="shared" si="11"/>
        <v>0.57499999999999996</v>
      </c>
      <c r="AG83" s="117">
        <f>AE83</f>
        <v>460</v>
      </c>
      <c r="AH83" s="113">
        <f t="shared" si="12"/>
        <v>0.57499999999999996</v>
      </c>
      <c r="AI83" s="115">
        <f t="shared" si="47"/>
        <v>345</v>
      </c>
      <c r="AJ83" s="250">
        <v>299.14</v>
      </c>
      <c r="AK83" s="119">
        <f t="shared" si="13"/>
        <v>103203.29999999999</v>
      </c>
      <c r="AL83" s="115">
        <f t="shared" si="14"/>
        <v>372.6</v>
      </c>
      <c r="AM83" s="115">
        <f t="shared" si="15"/>
        <v>227.70000000000002</v>
      </c>
      <c r="AN83" s="115">
        <f t="shared" si="16"/>
        <v>391</v>
      </c>
      <c r="AO83" s="117">
        <f>AB83*60%</f>
        <v>480</v>
      </c>
      <c r="AP83" s="113">
        <f t="shared" si="18"/>
        <v>0.6</v>
      </c>
      <c r="AQ83" s="115">
        <f t="shared" si="48"/>
        <v>360</v>
      </c>
      <c r="AR83" s="115">
        <f t="shared" si="49"/>
        <v>388.8</v>
      </c>
      <c r="AS83" s="115">
        <f t="shared" si="19"/>
        <v>244.8</v>
      </c>
      <c r="AT83" s="115">
        <f t="shared" si="20"/>
        <v>422.4</v>
      </c>
      <c r="AU83" s="118">
        <v>853</v>
      </c>
      <c r="AV83" s="118">
        <v>2000</v>
      </c>
      <c r="AW83" s="113">
        <f t="shared" si="21"/>
        <v>0.42649999999999999</v>
      </c>
      <c r="AX83" s="114">
        <v>-2</v>
      </c>
      <c r="AY83" s="115">
        <f>AV83*43%</f>
        <v>860</v>
      </c>
      <c r="AZ83" s="113">
        <f t="shared" si="22"/>
        <v>0.43</v>
      </c>
      <c r="BA83" s="114">
        <f>AV83*43%</f>
        <v>860</v>
      </c>
      <c r="BB83" s="113">
        <f t="shared" si="23"/>
        <v>0.43</v>
      </c>
      <c r="BC83" s="115">
        <f t="shared" si="50"/>
        <v>602</v>
      </c>
      <c r="BD83" s="247">
        <v>272.26</v>
      </c>
      <c r="BE83" s="119">
        <f t="shared" si="24"/>
        <v>163900.51999999999</v>
      </c>
      <c r="BF83" s="115">
        <f t="shared" si="51"/>
        <v>619.19999999999993</v>
      </c>
      <c r="BG83" s="115">
        <f t="shared" si="25"/>
        <v>415.38</v>
      </c>
      <c r="BH83" s="115">
        <f t="shared" si="26"/>
        <v>713.8</v>
      </c>
      <c r="BI83" s="114">
        <f>AV83*43%</f>
        <v>860</v>
      </c>
      <c r="BJ83" s="113">
        <f t="shared" si="27"/>
        <v>0.43</v>
      </c>
      <c r="BK83" s="115">
        <f t="shared" si="52"/>
        <v>610.6</v>
      </c>
      <c r="BL83" s="115">
        <f t="shared" si="53"/>
        <v>619.19999999999993</v>
      </c>
      <c r="BM83" s="115">
        <f t="shared" si="90"/>
        <v>421.31399999999996</v>
      </c>
      <c r="BN83" s="115">
        <f t="shared" si="29"/>
        <v>713.8</v>
      </c>
      <c r="BO83" s="114"/>
      <c r="BP83" s="114"/>
      <c r="BQ83" s="114"/>
      <c r="BR83" s="114"/>
      <c r="BS83" s="115">
        <f>900*6.3%</f>
        <v>56.7</v>
      </c>
      <c r="BT83" s="115">
        <f>1500*2.7%</f>
        <v>40.500000000000007</v>
      </c>
      <c r="BU83" s="114">
        <v>35</v>
      </c>
      <c r="BV83" s="114"/>
      <c r="BW83" s="114">
        <v>0</v>
      </c>
      <c r="BX83" s="115">
        <v>0</v>
      </c>
      <c r="BY83" s="246">
        <v>0</v>
      </c>
      <c r="BZ83" s="119">
        <f t="shared" si="30"/>
        <v>0</v>
      </c>
      <c r="CA83" s="115"/>
      <c r="CB83" s="115">
        <v>0</v>
      </c>
      <c r="CC83" s="115"/>
      <c r="CD83" s="114"/>
      <c r="CE83" s="115"/>
      <c r="CF83" s="115"/>
      <c r="CG83" s="115"/>
      <c r="CH83" s="115"/>
      <c r="CI83" s="139">
        <v>0</v>
      </c>
      <c r="CJ83" s="140">
        <v>0</v>
      </c>
      <c r="CK83" s="139"/>
      <c r="CL83" s="139"/>
      <c r="CM83" s="139">
        <v>1440</v>
      </c>
      <c r="CN83" s="185">
        <f>CN84</f>
        <v>150596</v>
      </c>
      <c r="CO83" s="139">
        <v>0</v>
      </c>
      <c r="CP83" s="140">
        <v>2249.79</v>
      </c>
      <c r="CQ83" s="139">
        <f t="shared" si="81"/>
        <v>0</v>
      </c>
      <c r="CR83" s="139">
        <v>0</v>
      </c>
      <c r="CS83" s="140">
        <v>445.51</v>
      </c>
      <c r="CT83" s="139">
        <f t="shared" si="89"/>
        <v>0</v>
      </c>
      <c r="CU83" s="139">
        <v>0</v>
      </c>
      <c r="CV83" s="140">
        <v>2249.79</v>
      </c>
      <c r="CW83" s="139">
        <f t="shared" si="82"/>
        <v>0</v>
      </c>
      <c r="CX83" s="139">
        <v>0</v>
      </c>
      <c r="CY83" s="140">
        <v>2249.79</v>
      </c>
      <c r="CZ83" s="139">
        <f t="shared" si="83"/>
        <v>0</v>
      </c>
      <c r="DA83" s="139">
        <v>0</v>
      </c>
      <c r="DB83" s="140">
        <v>464.26</v>
      </c>
      <c r="DC83" s="139">
        <f t="shared" si="84"/>
        <v>0</v>
      </c>
      <c r="DD83" s="139">
        <v>0</v>
      </c>
      <c r="DE83" s="140">
        <v>2249.79</v>
      </c>
      <c r="DF83" s="139">
        <f t="shared" si="85"/>
        <v>0</v>
      </c>
      <c r="DG83" s="139">
        <v>0</v>
      </c>
      <c r="DH83" s="140">
        <v>2249.79</v>
      </c>
      <c r="DI83" s="139">
        <f t="shared" si="86"/>
        <v>0</v>
      </c>
      <c r="DJ83" s="139">
        <v>0</v>
      </c>
      <c r="DK83" s="139">
        <v>504.26</v>
      </c>
      <c r="DL83" s="139">
        <f t="shared" si="87"/>
        <v>0</v>
      </c>
      <c r="DM83" s="139">
        <v>0</v>
      </c>
      <c r="DN83" s="140">
        <v>2249.79</v>
      </c>
      <c r="DO83" s="205">
        <f t="shared" si="88"/>
        <v>0</v>
      </c>
      <c r="DP83" s="197"/>
    </row>
    <row r="84" spans="1:120" s="144" customFormat="1" ht="45.75" customHeight="1" x14ac:dyDescent="0.25">
      <c r="A84" s="17" t="s">
        <v>105</v>
      </c>
      <c r="B84" s="9"/>
      <c r="C84" s="19" t="s">
        <v>106</v>
      </c>
      <c r="D84" s="9"/>
      <c r="E84" s="10"/>
      <c r="F84" s="11"/>
      <c r="G84" s="7"/>
      <c r="H84" s="10"/>
      <c r="I84" s="7"/>
      <c r="J84" s="10"/>
      <c r="K84" s="7">
        <f>K83</f>
        <v>1641.6</v>
      </c>
      <c r="L84" s="241">
        <v>299.54000000000002</v>
      </c>
      <c r="M84" s="187">
        <f>K84*L84</f>
        <v>491724.864</v>
      </c>
      <c r="N84" s="7"/>
      <c r="O84" s="7">
        <f>O83</f>
        <v>952.12799999999993</v>
      </c>
      <c r="P84" s="7"/>
      <c r="Q84" s="7"/>
      <c r="R84" s="188"/>
      <c r="S84" s="7"/>
      <c r="T84" s="7"/>
      <c r="U84" s="7"/>
      <c r="V84" s="7"/>
      <c r="W84" s="7">
        <f t="shared" si="79"/>
        <v>114.91200000000001</v>
      </c>
      <c r="X84" s="247">
        <v>14</v>
      </c>
      <c r="Y84" s="187">
        <f t="shared" si="80"/>
        <v>1608.768</v>
      </c>
      <c r="Z84" s="9"/>
      <c r="AA84" s="9"/>
      <c r="AB84" s="9"/>
      <c r="AC84" s="10"/>
      <c r="AD84" s="11"/>
      <c r="AE84" s="7"/>
      <c r="AF84" s="10"/>
      <c r="AG84" s="18"/>
      <c r="AH84" s="10"/>
      <c r="AI84" s="7">
        <f>AI83</f>
        <v>345</v>
      </c>
      <c r="AJ84" s="250">
        <v>299.14</v>
      </c>
      <c r="AK84" s="187">
        <f>AK83</f>
        <v>103203.29999999999</v>
      </c>
      <c r="AL84" s="7"/>
      <c r="AM84" s="7">
        <f>AM83</f>
        <v>227.70000000000002</v>
      </c>
      <c r="AN84" s="7"/>
      <c r="AO84" s="18"/>
      <c r="AP84" s="10"/>
      <c r="AQ84" s="7"/>
      <c r="AR84" s="7"/>
      <c r="AS84" s="7"/>
      <c r="AT84" s="7"/>
      <c r="AU84" s="12"/>
      <c r="AV84" s="12"/>
      <c r="AW84" s="10"/>
      <c r="AX84" s="11"/>
      <c r="AY84" s="7"/>
      <c r="AZ84" s="10"/>
      <c r="BA84" s="11"/>
      <c r="BB84" s="10"/>
      <c r="BC84" s="7">
        <f>BC83</f>
        <v>602</v>
      </c>
      <c r="BD84" s="247">
        <v>272.26</v>
      </c>
      <c r="BE84" s="187">
        <f>BC84*BD84</f>
        <v>163900.51999999999</v>
      </c>
      <c r="BF84" s="7"/>
      <c r="BG84" s="7">
        <f>BG83</f>
        <v>415.38</v>
      </c>
      <c r="BH84" s="7"/>
      <c r="BI84" s="11"/>
      <c r="BJ84" s="10"/>
      <c r="BK84" s="7"/>
      <c r="BL84" s="7"/>
      <c r="BM84" s="7"/>
      <c r="BN84" s="7"/>
      <c r="BO84" s="11"/>
      <c r="BP84" s="11"/>
      <c r="BQ84" s="11"/>
      <c r="BR84" s="11"/>
      <c r="BS84" s="7"/>
      <c r="BT84" s="7"/>
      <c r="BU84" s="11"/>
      <c r="BV84" s="11"/>
      <c r="BW84" s="11"/>
      <c r="BX84" s="7">
        <v>0</v>
      </c>
      <c r="BY84" s="247">
        <v>0</v>
      </c>
      <c r="BZ84" s="187">
        <v>0</v>
      </c>
      <c r="CA84" s="7"/>
      <c r="CB84" s="7">
        <v>0</v>
      </c>
      <c r="CC84" s="7"/>
      <c r="CD84" s="11"/>
      <c r="CE84" s="7"/>
      <c r="CF84" s="7"/>
      <c r="CG84" s="7"/>
      <c r="CH84" s="7"/>
      <c r="CI84" s="13">
        <v>0</v>
      </c>
      <c r="CJ84" s="189">
        <v>0</v>
      </c>
      <c r="CK84" s="13">
        <v>0</v>
      </c>
      <c r="CL84" s="13" t="s">
        <v>135</v>
      </c>
      <c r="CM84" s="13">
        <v>1440</v>
      </c>
      <c r="CN84" s="14">
        <f>CN6</f>
        <v>150596</v>
      </c>
      <c r="CO84" s="13">
        <v>0</v>
      </c>
      <c r="CP84" s="189">
        <v>2249.79</v>
      </c>
      <c r="CQ84" s="13">
        <f t="shared" si="81"/>
        <v>0</v>
      </c>
      <c r="CR84" s="13">
        <v>0</v>
      </c>
      <c r="CS84" s="189">
        <v>445.51</v>
      </c>
      <c r="CT84" s="13">
        <f t="shared" si="89"/>
        <v>0</v>
      </c>
      <c r="CU84" s="13">
        <v>0</v>
      </c>
      <c r="CV84" s="189">
        <v>2249.79</v>
      </c>
      <c r="CW84" s="13">
        <f t="shared" si="82"/>
        <v>0</v>
      </c>
      <c r="CX84" s="13">
        <v>0</v>
      </c>
      <c r="CY84" s="189">
        <v>2249.79</v>
      </c>
      <c r="CZ84" s="13">
        <f t="shared" si="83"/>
        <v>0</v>
      </c>
      <c r="DA84" s="13">
        <v>0</v>
      </c>
      <c r="DB84" s="189">
        <v>464.26</v>
      </c>
      <c r="DC84" s="13">
        <f t="shared" si="84"/>
        <v>0</v>
      </c>
      <c r="DD84" s="13">
        <v>0</v>
      </c>
      <c r="DE84" s="189">
        <v>2249.79</v>
      </c>
      <c r="DF84" s="13">
        <f t="shared" si="85"/>
        <v>0</v>
      </c>
      <c r="DG84" s="13">
        <v>0</v>
      </c>
      <c r="DH84" s="189">
        <v>2249.79</v>
      </c>
      <c r="DI84" s="13">
        <f t="shared" si="86"/>
        <v>0</v>
      </c>
      <c r="DJ84" s="13">
        <v>0</v>
      </c>
      <c r="DK84" s="13">
        <v>504.26</v>
      </c>
      <c r="DL84" s="13">
        <f t="shared" si="87"/>
        <v>0</v>
      </c>
      <c r="DM84" s="13">
        <v>0</v>
      </c>
      <c r="DN84" s="189">
        <v>2249.79</v>
      </c>
      <c r="DO84" s="16">
        <f t="shared" si="88"/>
        <v>0</v>
      </c>
      <c r="DP84" s="198"/>
    </row>
    <row r="85" spans="1:120" s="143" customFormat="1" x14ac:dyDescent="0.25">
      <c r="A85" s="218" t="s">
        <v>107</v>
      </c>
      <c r="B85" s="112">
        <v>23597</v>
      </c>
      <c r="C85" s="220"/>
      <c r="D85" s="112">
        <v>34600</v>
      </c>
      <c r="E85" s="113">
        <f t="shared" si="74"/>
        <v>0.68199421965317919</v>
      </c>
      <c r="F85" s="114">
        <v>14</v>
      </c>
      <c r="G85" s="115">
        <f>$B85*$G$98/$B$95</f>
        <v>18977.283079231667</v>
      </c>
      <c r="H85" s="113">
        <f t="shared" si="0"/>
        <v>0.54847638957316958</v>
      </c>
      <c r="I85" s="115">
        <f>D85*67%</f>
        <v>23182</v>
      </c>
      <c r="J85" s="113">
        <f t="shared" si="1"/>
        <v>0.67</v>
      </c>
      <c r="K85" s="115">
        <f t="shared" si="43"/>
        <v>17618.32</v>
      </c>
      <c r="L85" s="241">
        <v>299.54000000000002</v>
      </c>
      <c r="M85" s="119">
        <f t="shared" si="2"/>
        <v>5277391.5728000002</v>
      </c>
      <c r="N85" s="115">
        <f t="shared" si="3"/>
        <v>18545.600000000002</v>
      </c>
      <c r="O85" s="115">
        <f t="shared" si="44"/>
        <v>10218.625599999999</v>
      </c>
      <c r="P85" s="115">
        <f t="shared" si="45"/>
        <v>16922.86</v>
      </c>
      <c r="Q85" s="115">
        <f>D85*75%</f>
        <v>25950</v>
      </c>
      <c r="R85" s="116">
        <f t="shared" si="4"/>
        <v>0.75</v>
      </c>
      <c r="S85" s="115">
        <f t="shared" si="5"/>
        <v>19722</v>
      </c>
      <c r="T85" s="115">
        <f t="shared" si="6"/>
        <v>20760</v>
      </c>
      <c r="U85" s="115">
        <f t="shared" si="46"/>
        <v>11438.759999999998</v>
      </c>
      <c r="V85" s="115">
        <f t="shared" si="7"/>
        <v>18943.5</v>
      </c>
      <c r="W85" s="115">
        <f t="shared" si="79"/>
        <v>1233.2824000000001</v>
      </c>
      <c r="X85" s="246">
        <v>14</v>
      </c>
      <c r="Y85" s="119">
        <f t="shared" si="80"/>
        <v>17265.953600000001</v>
      </c>
      <c r="Z85" s="112">
        <v>6126</v>
      </c>
      <c r="AA85" s="112"/>
      <c r="AB85" s="112">
        <v>10500</v>
      </c>
      <c r="AC85" s="113">
        <f t="shared" si="10"/>
        <v>0.58342857142857141</v>
      </c>
      <c r="AD85" s="114">
        <v>10</v>
      </c>
      <c r="AE85" s="115">
        <f>$Z85</f>
        <v>6126</v>
      </c>
      <c r="AF85" s="113">
        <f t="shared" si="11"/>
        <v>0.58342857142857141</v>
      </c>
      <c r="AG85" s="117">
        <f>AB85*60%</f>
        <v>6300</v>
      </c>
      <c r="AH85" s="113">
        <f t="shared" si="12"/>
        <v>0.6</v>
      </c>
      <c r="AI85" s="115">
        <f t="shared" si="47"/>
        <v>4725</v>
      </c>
      <c r="AJ85" s="250">
        <v>299.14</v>
      </c>
      <c r="AK85" s="119">
        <f t="shared" si="13"/>
        <v>1413436.5</v>
      </c>
      <c r="AL85" s="115">
        <f t="shared" si="14"/>
        <v>5103</v>
      </c>
      <c r="AM85" s="115">
        <f t="shared" si="15"/>
        <v>3118.5</v>
      </c>
      <c r="AN85" s="115">
        <f t="shared" si="16"/>
        <v>5355</v>
      </c>
      <c r="AO85" s="117">
        <f>AB85*65%</f>
        <v>6825</v>
      </c>
      <c r="AP85" s="113">
        <f t="shared" si="18"/>
        <v>0.65</v>
      </c>
      <c r="AQ85" s="115">
        <f t="shared" si="48"/>
        <v>5118.75</v>
      </c>
      <c r="AR85" s="115">
        <f t="shared" si="49"/>
        <v>5528.25</v>
      </c>
      <c r="AS85" s="115">
        <f t="shared" si="19"/>
        <v>3480.7500000000005</v>
      </c>
      <c r="AT85" s="115">
        <f t="shared" si="20"/>
        <v>6006</v>
      </c>
      <c r="AU85" s="118">
        <v>13555</v>
      </c>
      <c r="AV85" s="118">
        <v>33300</v>
      </c>
      <c r="AW85" s="113">
        <f t="shared" si="21"/>
        <v>0.40705705705705708</v>
      </c>
      <c r="AX85" s="114">
        <v>16</v>
      </c>
      <c r="AY85" s="115">
        <f>AV85*41%</f>
        <v>13653</v>
      </c>
      <c r="AZ85" s="113">
        <f t="shared" si="22"/>
        <v>0.41</v>
      </c>
      <c r="BA85" s="115">
        <f>AY85</f>
        <v>13653</v>
      </c>
      <c r="BB85" s="113">
        <f t="shared" si="23"/>
        <v>0.41</v>
      </c>
      <c r="BC85" s="115">
        <f t="shared" si="50"/>
        <v>9557.0999999999985</v>
      </c>
      <c r="BD85" s="247">
        <v>272.26</v>
      </c>
      <c r="BE85" s="119">
        <f t="shared" si="24"/>
        <v>2602016.0459999996</v>
      </c>
      <c r="BF85" s="115">
        <f t="shared" si="51"/>
        <v>9830.16</v>
      </c>
      <c r="BG85" s="115">
        <f t="shared" si="25"/>
        <v>6594.3989999999985</v>
      </c>
      <c r="BH85" s="115">
        <f t="shared" si="26"/>
        <v>11331.99</v>
      </c>
      <c r="BI85" s="115">
        <f>BA85</f>
        <v>13653</v>
      </c>
      <c r="BJ85" s="113">
        <f t="shared" si="27"/>
        <v>0.41</v>
      </c>
      <c r="BK85" s="115">
        <f t="shared" si="52"/>
        <v>9693.6299999999992</v>
      </c>
      <c r="BL85" s="115">
        <f t="shared" si="53"/>
        <v>9830.16</v>
      </c>
      <c r="BM85" s="115">
        <f t="shared" si="90"/>
        <v>6688.604699999999</v>
      </c>
      <c r="BN85" s="115">
        <f t="shared" si="29"/>
        <v>11331.99</v>
      </c>
      <c r="BO85" s="114">
        <v>138</v>
      </c>
      <c r="BP85" s="114">
        <v>29</v>
      </c>
      <c r="BQ85" s="114">
        <v>29</v>
      </c>
      <c r="BR85" s="114">
        <v>388</v>
      </c>
      <c r="BS85" s="114">
        <f>36300*1%</f>
        <v>363</v>
      </c>
      <c r="BT85" s="114">
        <f>33300*2%</f>
        <v>666</v>
      </c>
      <c r="BU85" s="114">
        <v>370</v>
      </c>
      <c r="BV85" s="114">
        <v>460</v>
      </c>
      <c r="BW85" s="114">
        <v>750</v>
      </c>
      <c r="BX85" s="115">
        <f t="shared" si="63"/>
        <v>495</v>
      </c>
      <c r="BY85" s="247">
        <v>385.36</v>
      </c>
      <c r="BZ85" s="119">
        <f t="shared" si="30"/>
        <v>190753.2</v>
      </c>
      <c r="CA85" s="115">
        <f t="shared" si="55"/>
        <v>540</v>
      </c>
      <c r="CB85" s="115">
        <f t="shared" ref="CB85" si="91">BX85*69%</f>
        <v>341.54999999999995</v>
      </c>
      <c r="CC85" s="115">
        <f t="shared" si="32"/>
        <v>622.5</v>
      </c>
      <c r="CD85" s="114">
        <v>1280</v>
      </c>
      <c r="CE85" s="115">
        <f t="shared" si="56"/>
        <v>844.80000000000007</v>
      </c>
      <c r="CF85" s="115">
        <f t="shared" si="78"/>
        <v>921.59999999999991</v>
      </c>
      <c r="CG85" s="115">
        <f t="shared" ref="CG85" si="92">CE85*69%</f>
        <v>582.91200000000003</v>
      </c>
      <c r="CH85" s="115">
        <f t="shared" si="34"/>
        <v>1062.3999999999999</v>
      </c>
      <c r="CI85" s="139">
        <v>400</v>
      </c>
      <c r="CJ85" s="140">
        <v>1351</v>
      </c>
      <c r="CK85" s="139">
        <f>CI85*CJ85</f>
        <v>540400</v>
      </c>
      <c r="CL85" s="139"/>
      <c r="CM85" s="139">
        <v>1440</v>
      </c>
      <c r="CN85" s="185">
        <f>CN86+CN87+CN90</f>
        <v>451788</v>
      </c>
      <c r="CO85" s="139">
        <f>SUM(CO86:CO90)</f>
        <v>129</v>
      </c>
      <c r="CP85" s="140">
        <v>2249.79</v>
      </c>
      <c r="CQ85" s="139">
        <f t="shared" si="81"/>
        <v>290222.90999999997</v>
      </c>
      <c r="CR85" s="139">
        <v>0</v>
      </c>
      <c r="CS85" s="140">
        <v>445.51</v>
      </c>
      <c r="CT85" s="139">
        <f t="shared" si="89"/>
        <v>0</v>
      </c>
      <c r="CU85" s="139">
        <v>0</v>
      </c>
      <c r="CV85" s="140">
        <v>2249.79</v>
      </c>
      <c r="CW85" s="139">
        <f t="shared" si="82"/>
        <v>0</v>
      </c>
      <c r="CX85" s="139">
        <f>SUM(CX86:CX90)</f>
        <v>20</v>
      </c>
      <c r="CY85" s="140">
        <v>2249.79</v>
      </c>
      <c r="CZ85" s="139">
        <f t="shared" si="83"/>
        <v>44995.8</v>
      </c>
      <c r="DA85" s="139">
        <f>SUM(DA86:DA90)</f>
        <v>500</v>
      </c>
      <c r="DB85" s="140">
        <v>464.26</v>
      </c>
      <c r="DC85" s="139">
        <f t="shared" si="84"/>
        <v>232130</v>
      </c>
      <c r="DD85" s="139">
        <f>SUM(DD86:DD90)</f>
        <v>20</v>
      </c>
      <c r="DE85" s="140">
        <v>2249.79</v>
      </c>
      <c r="DF85" s="139">
        <f t="shared" si="85"/>
        <v>44995.8</v>
      </c>
      <c r="DG85" s="139">
        <v>0</v>
      </c>
      <c r="DH85" s="140">
        <v>2249.79</v>
      </c>
      <c r="DI85" s="139">
        <f t="shared" si="86"/>
        <v>0</v>
      </c>
      <c r="DJ85" s="139"/>
      <c r="DK85" s="139">
        <v>504.26</v>
      </c>
      <c r="DL85" s="139">
        <f t="shared" si="87"/>
        <v>0</v>
      </c>
      <c r="DM85" s="139">
        <v>0</v>
      </c>
      <c r="DN85" s="140">
        <v>2249.79</v>
      </c>
      <c r="DO85" s="205">
        <f t="shared" si="88"/>
        <v>0</v>
      </c>
      <c r="DP85" s="197"/>
    </row>
    <row r="86" spans="1:120" ht="38.25" x14ac:dyDescent="0.25">
      <c r="A86" s="17" t="s">
        <v>107</v>
      </c>
      <c r="B86" s="9"/>
      <c r="C86" s="19" t="s">
        <v>61</v>
      </c>
      <c r="D86" s="9"/>
      <c r="E86" s="10"/>
      <c r="F86" s="11"/>
      <c r="G86" s="7"/>
      <c r="H86" s="10"/>
      <c r="I86" s="7"/>
      <c r="J86" s="10"/>
      <c r="K86" s="7">
        <v>8780.7632000000012</v>
      </c>
      <c r="L86" s="241">
        <v>299.54000000000002</v>
      </c>
      <c r="M86" s="187">
        <f>K86*L86</f>
        <v>2630189.8089280007</v>
      </c>
      <c r="N86" s="7"/>
      <c r="O86" s="7">
        <v>5093.8426560000007</v>
      </c>
      <c r="P86" s="7"/>
      <c r="Q86" s="7"/>
      <c r="R86" s="188"/>
      <c r="S86" s="7"/>
      <c r="T86" s="7"/>
      <c r="U86" s="7"/>
      <c r="V86" s="7"/>
      <c r="W86" s="7">
        <f t="shared" si="79"/>
        <v>614.6534240000002</v>
      </c>
      <c r="X86" s="247">
        <v>14</v>
      </c>
      <c r="Y86" s="187">
        <f t="shared" si="80"/>
        <v>8605.147936000003</v>
      </c>
      <c r="Z86" s="9"/>
      <c r="AA86" s="9"/>
      <c r="AB86" s="9"/>
      <c r="AC86" s="10"/>
      <c r="AD86" s="11"/>
      <c r="AE86" s="7"/>
      <c r="AF86" s="10"/>
      <c r="AG86" s="18"/>
      <c r="AH86" s="10"/>
      <c r="AI86" s="7">
        <v>2693.2499999999995</v>
      </c>
      <c r="AJ86" s="250">
        <v>299.14</v>
      </c>
      <c r="AK86" s="187">
        <v>805281.74999999988</v>
      </c>
      <c r="AL86" s="7"/>
      <c r="AM86" s="7">
        <v>1777.5449999999998</v>
      </c>
      <c r="AN86" s="7"/>
      <c r="AO86" s="18"/>
      <c r="AP86" s="10"/>
      <c r="AQ86" s="7"/>
      <c r="AR86" s="7"/>
      <c r="AS86" s="7"/>
      <c r="AT86" s="7"/>
      <c r="AU86" s="12"/>
      <c r="AV86" s="12"/>
      <c r="AW86" s="10"/>
      <c r="AX86" s="11"/>
      <c r="AY86" s="7"/>
      <c r="AZ86" s="10"/>
      <c r="BA86" s="7"/>
      <c r="BB86" s="10"/>
      <c r="BC86" s="7">
        <v>0</v>
      </c>
      <c r="BD86" s="247">
        <v>272.26</v>
      </c>
      <c r="BE86" s="187">
        <v>0</v>
      </c>
      <c r="BF86" s="7"/>
      <c r="BG86" s="7">
        <v>0</v>
      </c>
      <c r="BH86" s="7"/>
      <c r="BI86" s="7"/>
      <c r="BJ86" s="10"/>
      <c r="BK86" s="7"/>
      <c r="BL86" s="7"/>
      <c r="BM86" s="7"/>
      <c r="BN86" s="7"/>
      <c r="BO86" s="11"/>
      <c r="BP86" s="11"/>
      <c r="BQ86" s="11"/>
      <c r="BR86" s="11"/>
      <c r="BS86" s="11"/>
      <c r="BT86" s="11"/>
      <c r="BU86" s="11"/>
      <c r="BV86" s="11"/>
      <c r="BW86" s="11"/>
      <c r="BX86" s="7">
        <v>554</v>
      </c>
      <c r="BY86" s="247">
        <v>385.36</v>
      </c>
      <c r="BZ86" s="187">
        <f>BX86*BY86</f>
        <v>213489.44</v>
      </c>
      <c r="CA86" s="7"/>
      <c r="CB86" s="7">
        <f>BX86*0.69</f>
        <v>382.26</v>
      </c>
      <c r="CC86" s="7"/>
      <c r="CD86" s="11"/>
      <c r="CE86" s="7"/>
      <c r="CF86" s="7"/>
      <c r="CG86" s="7"/>
      <c r="CH86" s="7"/>
      <c r="CI86" s="13">
        <v>400</v>
      </c>
      <c r="CJ86" s="189">
        <v>1351</v>
      </c>
      <c r="CK86" s="13">
        <f>CI86*CJ86</f>
        <v>540400</v>
      </c>
      <c r="CL86" s="13" t="s">
        <v>135</v>
      </c>
      <c r="CM86" s="13">
        <v>1440</v>
      </c>
      <c r="CN86" s="14">
        <v>150596</v>
      </c>
      <c r="CO86" s="13">
        <v>79</v>
      </c>
      <c r="CP86" s="189">
        <v>2249.79</v>
      </c>
      <c r="CQ86" s="13">
        <f t="shared" si="81"/>
        <v>177733.41</v>
      </c>
      <c r="CR86" s="13">
        <v>0</v>
      </c>
      <c r="CS86" s="189">
        <v>445.51</v>
      </c>
      <c r="CT86" s="13">
        <f t="shared" si="89"/>
        <v>0</v>
      </c>
      <c r="CU86" s="13">
        <v>0</v>
      </c>
      <c r="CV86" s="189">
        <v>2249.79</v>
      </c>
      <c r="CW86" s="13">
        <f t="shared" si="82"/>
        <v>0</v>
      </c>
      <c r="CX86" s="13">
        <v>20</v>
      </c>
      <c r="CY86" s="189">
        <v>2249.79</v>
      </c>
      <c r="CZ86" s="13">
        <f t="shared" si="83"/>
        <v>44995.8</v>
      </c>
      <c r="DA86" s="13">
        <v>0</v>
      </c>
      <c r="DB86" s="189">
        <v>464.26</v>
      </c>
      <c r="DC86" s="13">
        <f t="shared" si="84"/>
        <v>0</v>
      </c>
      <c r="DD86" s="13">
        <v>0</v>
      </c>
      <c r="DE86" s="189">
        <v>2249.79</v>
      </c>
      <c r="DF86" s="13">
        <f t="shared" si="85"/>
        <v>0</v>
      </c>
      <c r="DG86" s="13">
        <v>0</v>
      </c>
      <c r="DH86" s="189">
        <v>2249.79</v>
      </c>
      <c r="DI86" s="13">
        <f t="shared" si="86"/>
        <v>0</v>
      </c>
      <c r="DJ86" s="13">
        <v>0</v>
      </c>
      <c r="DK86" s="13">
        <v>504.26</v>
      </c>
      <c r="DL86" s="13">
        <f t="shared" si="87"/>
        <v>0</v>
      </c>
      <c r="DM86" s="13">
        <v>0</v>
      </c>
      <c r="DN86" s="189">
        <v>2249.79</v>
      </c>
      <c r="DO86" s="16">
        <f t="shared" si="88"/>
        <v>0</v>
      </c>
      <c r="DP86" s="196"/>
    </row>
    <row r="87" spans="1:120" ht="38.25" x14ac:dyDescent="0.25">
      <c r="A87" s="17" t="s">
        <v>107</v>
      </c>
      <c r="B87" s="9"/>
      <c r="C87" s="19" t="s">
        <v>108</v>
      </c>
      <c r="D87" s="9"/>
      <c r="E87" s="10"/>
      <c r="F87" s="11"/>
      <c r="G87" s="7"/>
      <c r="H87" s="10"/>
      <c r="I87" s="7"/>
      <c r="J87" s="10"/>
      <c r="K87" s="7">
        <v>5263.7632000000003</v>
      </c>
      <c r="L87" s="241">
        <v>299.54000000000002</v>
      </c>
      <c r="M87" s="187">
        <f>K87*L87</f>
        <v>1576707.6289280001</v>
      </c>
      <c r="N87" s="7"/>
      <c r="O87" s="7">
        <v>3052.9826560000001</v>
      </c>
      <c r="P87" s="7"/>
      <c r="Q87" s="7"/>
      <c r="R87" s="188"/>
      <c r="S87" s="7"/>
      <c r="T87" s="7"/>
      <c r="U87" s="7"/>
      <c r="V87" s="7"/>
      <c r="W87" s="7">
        <f t="shared" si="79"/>
        <v>368.46342400000003</v>
      </c>
      <c r="X87" s="247">
        <v>14</v>
      </c>
      <c r="Y87" s="187">
        <f t="shared" si="80"/>
        <v>5158.4879360000004</v>
      </c>
      <c r="Z87" s="9"/>
      <c r="AA87" s="9"/>
      <c r="AB87" s="9"/>
      <c r="AC87" s="10"/>
      <c r="AD87" s="11"/>
      <c r="AE87" s="7"/>
      <c r="AF87" s="10"/>
      <c r="AG87" s="18"/>
      <c r="AH87" s="10"/>
      <c r="AI87" s="7">
        <v>803.25000000000011</v>
      </c>
      <c r="AJ87" s="250">
        <v>299.14</v>
      </c>
      <c r="AK87" s="187">
        <v>240171.75000000003</v>
      </c>
      <c r="AL87" s="7"/>
      <c r="AM87" s="7">
        <v>530.1450000000001</v>
      </c>
      <c r="AN87" s="7"/>
      <c r="AO87" s="18"/>
      <c r="AP87" s="10"/>
      <c r="AQ87" s="7"/>
      <c r="AR87" s="7"/>
      <c r="AS87" s="7"/>
      <c r="AT87" s="7"/>
      <c r="AU87" s="12"/>
      <c r="AV87" s="12"/>
      <c r="AW87" s="10"/>
      <c r="AX87" s="11"/>
      <c r="AY87" s="7"/>
      <c r="AZ87" s="10"/>
      <c r="BA87" s="7"/>
      <c r="BB87" s="10"/>
      <c r="BC87" s="7">
        <v>0</v>
      </c>
      <c r="BD87" s="247">
        <v>272.26</v>
      </c>
      <c r="BE87" s="187">
        <v>0</v>
      </c>
      <c r="BF87" s="7"/>
      <c r="BG87" s="7">
        <v>0</v>
      </c>
      <c r="BH87" s="7"/>
      <c r="BI87" s="7"/>
      <c r="BJ87" s="10"/>
      <c r="BK87" s="7"/>
      <c r="BL87" s="7"/>
      <c r="BM87" s="7"/>
      <c r="BN87" s="7"/>
      <c r="BO87" s="11"/>
      <c r="BP87" s="11"/>
      <c r="BQ87" s="11"/>
      <c r="BR87" s="11"/>
      <c r="BS87" s="11"/>
      <c r="BT87" s="11"/>
      <c r="BU87" s="11"/>
      <c r="BV87" s="11"/>
      <c r="BW87" s="11"/>
      <c r="BX87" s="7">
        <v>0</v>
      </c>
      <c r="BY87" s="247">
        <v>385.36</v>
      </c>
      <c r="BZ87" s="187">
        <v>0</v>
      </c>
      <c r="CA87" s="7"/>
      <c r="CB87" s="7">
        <v>0</v>
      </c>
      <c r="CC87" s="7"/>
      <c r="CD87" s="11"/>
      <c r="CE87" s="7"/>
      <c r="CF87" s="7"/>
      <c r="CG87" s="7"/>
      <c r="CH87" s="7"/>
      <c r="CI87" s="13">
        <v>0</v>
      </c>
      <c r="CJ87" s="189">
        <v>0</v>
      </c>
      <c r="CK87" s="13">
        <v>0</v>
      </c>
      <c r="CL87" s="13" t="s">
        <v>135</v>
      </c>
      <c r="CM87" s="13">
        <v>1440</v>
      </c>
      <c r="CN87" s="14">
        <v>150596</v>
      </c>
      <c r="CO87" s="13">
        <v>50</v>
      </c>
      <c r="CP87" s="189">
        <v>2249.79</v>
      </c>
      <c r="CQ87" s="13">
        <f t="shared" si="81"/>
        <v>112489.5</v>
      </c>
      <c r="CR87" s="13">
        <v>0</v>
      </c>
      <c r="CS87" s="189">
        <v>445.51</v>
      </c>
      <c r="CT87" s="13">
        <f t="shared" si="89"/>
        <v>0</v>
      </c>
      <c r="CU87" s="13">
        <v>0</v>
      </c>
      <c r="CV87" s="189">
        <v>2249.79</v>
      </c>
      <c r="CW87" s="13">
        <f t="shared" si="82"/>
        <v>0</v>
      </c>
      <c r="CX87" s="13">
        <v>0</v>
      </c>
      <c r="CY87" s="189">
        <v>2249.79</v>
      </c>
      <c r="CZ87" s="13">
        <f t="shared" si="83"/>
        <v>0</v>
      </c>
      <c r="DA87" s="13">
        <v>0</v>
      </c>
      <c r="DB87" s="189">
        <v>464.26</v>
      </c>
      <c r="DC87" s="13">
        <f t="shared" si="84"/>
        <v>0</v>
      </c>
      <c r="DD87" s="13">
        <v>0</v>
      </c>
      <c r="DE87" s="189">
        <v>2249.79</v>
      </c>
      <c r="DF87" s="13">
        <f t="shared" si="85"/>
        <v>0</v>
      </c>
      <c r="DG87" s="13">
        <v>0</v>
      </c>
      <c r="DH87" s="189">
        <v>2249.79</v>
      </c>
      <c r="DI87" s="13">
        <f t="shared" si="86"/>
        <v>0</v>
      </c>
      <c r="DJ87" s="13">
        <v>0</v>
      </c>
      <c r="DK87" s="13">
        <v>504.26</v>
      </c>
      <c r="DL87" s="13">
        <f t="shared" si="87"/>
        <v>0</v>
      </c>
      <c r="DM87" s="13">
        <v>0</v>
      </c>
      <c r="DN87" s="189">
        <v>2249.79</v>
      </c>
      <c r="DO87" s="16">
        <f t="shared" si="88"/>
        <v>0</v>
      </c>
      <c r="DP87" s="196"/>
    </row>
    <row r="88" spans="1:120" ht="25.5" x14ac:dyDescent="0.25">
      <c r="A88" s="17" t="s">
        <v>107</v>
      </c>
      <c r="B88" s="9"/>
      <c r="C88" s="19" t="s">
        <v>40</v>
      </c>
      <c r="D88" s="9"/>
      <c r="E88" s="10"/>
      <c r="F88" s="11"/>
      <c r="G88" s="7"/>
      <c r="H88" s="10"/>
      <c r="I88" s="7"/>
      <c r="J88" s="10"/>
      <c r="K88" s="7">
        <v>0</v>
      </c>
      <c r="L88" s="241">
        <v>299.54000000000002</v>
      </c>
      <c r="M88" s="187">
        <f t="shared" ref="M88:M89" si="93">K88*L88</f>
        <v>0</v>
      </c>
      <c r="N88" s="7"/>
      <c r="O88" s="7">
        <v>0</v>
      </c>
      <c r="P88" s="7"/>
      <c r="Q88" s="7"/>
      <c r="R88" s="188"/>
      <c r="S88" s="7"/>
      <c r="T88" s="7"/>
      <c r="U88" s="7"/>
      <c r="V88" s="7"/>
      <c r="W88" s="7">
        <f t="shared" si="79"/>
        <v>0</v>
      </c>
      <c r="X88" s="247">
        <v>14</v>
      </c>
      <c r="Y88" s="187">
        <f t="shared" si="80"/>
        <v>0</v>
      </c>
      <c r="Z88" s="9"/>
      <c r="AA88" s="9"/>
      <c r="AB88" s="9"/>
      <c r="AC88" s="10"/>
      <c r="AD88" s="11"/>
      <c r="AE88" s="7"/>
      <c r="AF88" s="10"/>
      <c r="AG88" s="18"/>
      <c r="AH88" s="10"/>
      <c r="AI88" s="7">
        <v>0</v>
      </c>
      <c r="AJ88" s="250">
        <v>299.14</v>
      </c>
      <c r="AK88" s="187">
        <v>0</v>
      </c>
      <c r="AL88" s="7"/>
      <c r="AM88" s="7">
        <v>0</v>
      </c>
      <c r="AN88" s="7"/>
      <c r="AO88" s="18"/>
      <c r="AP88" s="10"/>
      <c r="AQ88" s="7"/>
      <c r="AR88" s="7"/>
      <c r="AS88" s="7"/>
      <c r="AT88" s="7"/>
      <c r="AU88" s="12"/>
      <c r="AV88" s="12"/>
      <c r="AW88" s="10"/>
      <c r="AX88" s="11"/>
      <c r="AY88" s="7"/>
      <c r="AZ88" s="10"/>
      <c r="BA88" s="7"/>
      <c r="BB88" s="10"/>
      <c r="BC88" s="7">
        <f>BC85</f>
        <v>9557.0999999999985</v>
      </c>
      <c r="BD88" s="247">
        <v>272.26</v>
      </c>
      <c r="BE88" s="187">
        <v>2599531.1999999997</v>
      </c>
      <c r="BF88" s="7"/>
      <c r="BG88" s="7">
        <v>6594.3989999999985</v>
      </c>
      <c r="BH88" s="7"/>
      <c r="BI88" s="7"/>
      <c r="BJ88" s="10"/>
      <c r="BK88" s="7"/>
      <c r="BL88" s="7"/>
      <c r="BM88" s="7"/>
      <c r="BN88" s="7"/>
      <c r="BO88" s="11"/>
      <c r="BP88" s="11"/>
      <c r="BQ88" s="11"/>
      <c r="BR88" s="11"/>
      <c r="BS88" s="11"/>
      <c r="BT88" s="11"/>
      <c r="BU88" s="11"/>
      <c r="BV88" s="11"/>
      <c r="BW88" s="11"/>
      <c r="BX88" s="7">
        <v>0</v>
      </c>
      <c r="BY88" s="247">
        <v>385.36</v>
      </c>
      <c r="BZ88" s="187">
        <v>0</v>
      </c>
      <c r="CA88" s="7"/>
      <c r="CB88" s="7">
        <v>0</v>
      </c>
      <c r="CC88" s="7"/>
      <c r="CD88" s="11"/>
      <c r="CE88" s="7"/>
      <c r="CF88" s="7"/>
      <c r="CG88" s="7"/>
      <c r="CH88" s="7"/>
      <c r="CI88" s="13">
        <v>0</v>
      </c>
      <c r="CJ88" s="189">
        <v>0</v>
      </c>
      <c r="CK88" s="13">
        <v>0</v>
      </c>
      <c r="CL88" s="13"/>
      <c r="CM88" s="13">
        <v>1440</v>
      </c>
      <c r="CN88" s="14">
        <v>0</v>
      </c>
      <c r="CO88" s="13">
        <v>0</v>
      </c>
      <c r="CP88" s="189">
        <v>2249.79</v>
      </c>
      <c r="CQ88" s="13">
        <f t="shared" si="81"/>
        <v>0</v>
      </c>
      <c r="CR88" s="13">
        <v>0</v>
      </c>
      <c r="CS88" s="189">
        <v>445.51</v>
      </c>
      <c r="CT88" s="13">
        <f t="shared" si="89"/>
        <v>0</v>
      </c>
      <c r="CU88" s="13">
        <v>0</v>
      </c>
      <c r="CV88" s="189">
        <v>2249.79</v>
      </c>
      <c r="CW88" s="13">
        <f t="shared" si="82"/>
        <v>0</v>
      </c>
      <c r="CX88" s="13">
        <v>0</v>
      </c>
      <c r="CY88" s="189">
        <v>2249.79</v>
      </c>
      <c r="CZ88" s="13">
        <f t="shared" si="83"/>
        <v>0</v>
      </c>
      <c r="DA88" s="13">
        <v>0</v>
      </c>
      <c r="DB88" s="189">
        <v>464.26</v>
      </c>
      <c r="DC88" s="13">
        <f t="shared" si="84"/>
        <v>0</v>
      </c>
      <c r="DD88" s="13">
        <v>0</v>
      </c>
      <c r="DE88" s="189">
        <v>2249.79</v>
      </c>
      <c r="DF88" s="13">
        <f t="shared" si="85"/>
        <v>0</v>
      </c>
      <c r="DG88" s="13">
        <v>0</v>
      </c>
      <c r="DH88" s="189">
        <v>2249.79</v>
      </c>
      <c r="DI88" s="13">
        <f t="shared" si="86"/>
        <v>0</v>
      </c>
      <c r="DJ88" s="13">
        <v>0</v>
      </c>
      <c r="DK88" s="13">
        <v>504.26</v>
      </c>
      <c r="DL88" s="13">
        <f t="shared" si="87"/>
        <v>0</v>
      </c>
      <c r="DM88" s="13">
        <v>0</v>
      </c>
      <c r="DN88" s="189">
        <v>2249.79</v>
      </c>
      <c r="DO88" s="16">
        <f t="shared" si="88"/>
        <v>0</v>
      </c>
      <c r="DP88" s="196"/>
    </row>
    <row r="89" spans="1:120" ht="38.25" x14ac:dyDescent="0.25">
      <c r="A89" s="17" t="s">
        <v>107</v>
      </c>
      <c r="B89" s="9"/>
      <c r="C89" s="19" t="s">
        <v>63</v>
      </c>
      <c r="D89" s="9"/>
      <c r="E89" s="10"/>
      <c r="F89" s="11"/>
      <c r="G89" s="7"/>
      <c r="H89" s="10"/>
      <c r="I89" s="7"/>
      <c r="J89" s="10"/>
      <c r="K89" s="7">
        <v>0</v>
      </c>
      <c r="L89" s="241">
        <v>299.54000000000002</v>
      </c>
      <c r="M89" s="187">
        <f t="shared" si="93"/>
        <v>0</v>
      </c>
      <c r="N89" s="7"/>
      <c r="O89" s="7">
        <v>0</v>
      </c>
      <c r="P89" s="7"/>
      <c r="Q89" s="7"/>
      <c r="R89" s="188"/>
      <c r="S89" s="7"/>
      <c r="T89" s="7"/>
      <c r="U89" s="7"/>
      <c r="V89" s="7"/>
      <c r="W89" s="7">
        <f t="shared" si="79"/>
        <v>0</v>
      </c>
      <c r="X89" s="247">
        <v>14</v>
      </c>
      <c r="Y89" s="187">
        <f t="shared" si="80"/>
        <v>0</v>
      </c>
      <c r="Z89" s="9"/>
      <c r="AA89" s="9"/>
      <c r="AB89" s="9"/>
      <c r="AC89" s="10"/>
      <c r="AD89" s="11"/>
      <c r="AE89" s="7"/>
      <c r="AF89" s="10"/>
      <c r="AG89" s="18"/>
      <c r="AH89" s="10"/>
      <c r="AI89" s="7">
        <v>0</v>
      </c>
      <c r="AJ89" s="250">
        <v>299.14</v>
      </c>
      <c r="AK89" s="187">
        <v>0</v>
      </c>
      <c r="AL89" s="7"/>
      <c r="AM89" s="7">
        <v>0</v>
      </c>
      <c r="AN89" s="7"/>
      <c r="AO89" s="18"/>
      <c r="AP89" s="10"/>
      <c r="AQ89" s="7"/>
      <c r="AR89" s="7"/>
      <c r="AS89" s="7"/>
      <c r="AT89" s="7"/>
      <c r="AU89" s="12"/>
      <c r="AV89" s="12"/>
      <c r="AW89" s="10"/>
      <c r="AX89" s="11"/>
      <c r="AY89" s="7"/>
      <c r="AZ89" s="10"/>
      <c r="BA89" s="7"/>
      <c r="BB89" s="10"/>
      <c r="BC89" s="7">
        <v>0</v>
      </c>
      <c r="BD89" s="247">
        <v>272.26</v>
      </c>
      <c r="BE89" s="187">
        <v>0</v>
      </c>
      <c r="BF89" s="7"/>
      <c r="BG89" s="7">
        <v>0</v>
      </c>
      <c r="BH89" s="7"/>
      <c r="BI89" s="7"/>
      <c r="BJ89" s="10"/>
      <c r="BK89" s="7"/>
      <c r="BL89" s="7"/>
      <c r="BM89" s="7"/>
      <c r="BN89" s="7"/>
      <c r="BO89" s="11"/>
      <c r="BP89" s="11"/>
      <c r="BQ89" s="11"/>
      <c r="BR89" s="11"/>
      <c r="BS89" s="11"/>
      <c r="BT89" s="11"/>
      <c r="BU89" s="11"/>
      <c r="BV89" s="11"/>
      <c r="BW89" s="11"/>
      <c r="BX89" s="7">
        <v>0</v>
      </c>
      <c r="BY89" s="247">
        <v>385.36</v>
      </c>
      <c r="BZ89" s="187">
        <v>0</v>
      </c>
      <c r="CA89" s="7"/>
      <c r="CB89" s="7">
        <v>0</v>
      </c>
      <c r="CC89" s="7"/>
      <c r="CD89" s="11"/>
      <c r="CE89" s="7"/>
      <c r="CF89" s="7"/>
      <c r="CG89" s="7"/>
      <c r="CH89" s="7"/>
      <c r="CI89" s="13">
        <v>0</v>
      </c>
      <c r="CJ89" s="189">
        <v>0</v>
      </c>
      <c r="CK89" s="13">
        <v>0</v>
      </c>
      <c r="CL89" s="13"/>
      <c r="CM89" s="13">
        <v>1440</v>
      </c>
      <c r="CN89" s="14">
        <v>0</v>
      </c>
      <c r="CO89" s="13">
        <v>0</v>
      </c>
      <c r="CP89" s="189">
        <v>2249.79</v>
      </c>
      <c r="CQ89" s="13">
        <f t="shared" si="81"/>
        <v>0</v>
      </c>
      <c r="CR89" s="13">
        <v>0</v>
      </c>
      <c r="CS89" s="189">
        <v>445.51</v>
      </c>
      <c r="CT89" s="13">
        <f t="shared" si="89"/>
        <v>0</v>
      </c>
      <c r="CU89" s="13">
        <v>0</v>
      </c>
      <c r="CV89" s="189">
        <v>2249.79</v>
      </c>
      <c r="CW89" s="13">
        <f t="shared" si="82"/>
        <v>0</v>
      </c>
      <c r="CX89" s="13">
        <v>0</v>
      </c>
      <c r="CY89" s="189">
        <v>2249.79</v>
      </c>
      <c r="CZ89" s="13">
        <f t="shared" si="83"/>
        <v>0</v>
      </c>
      <c r="DA89" s="13">
        <v>0</v>
      </c>
      <c r="DB89" s="189">
        <v>464.26</v>
      </c>
      <c r="DC89" s="13">
        <f t="shared" si="84"/>
        <v>0</v>
      </c>
      <c r="DD89" s="13">
        <v>0</v>
      </c>
      <c r="DE89" s="189">
        <v>2249.79</v>
      </c>
      <c r="DF89" s="13">
        <f t="shared" si="85"/>
        <v>0</v>
      </c>
      <c r="DG89" s="13">
        <v>0</v>
      </c>
      <c r="DH89" s="189">
        <v>2249.79</v>
      </c>
      <c r="DI89" s="13">
        <f t="shared" si="86"/>
        <v>0</v>
      </c>
      <c r="DJ89" s="13">
        <v>0</v>
      </c>
      <c r="DK89" s="13">
        <v>504.26</v>
      </c>
      <c r="DL89" s="13">
        <f t="shared" si="87"/>
        <v>0</v>
      </c>
      <c r="DM89" s="13">
        <v>0</v>
      </c>
      <c r="DN89" s="189">
        <v>2249.79</v>
      </c>
      <c r="DO89" s="16">
        <f t="shared" si="88"/>
        <v>0</v>
      </c>
      <c r="DP89" s="196"/>
    </row>
    <row r="90" spans="1:120" ht="26.25" thickBot="1" x14ac:dyDescent="0.3">
      <c r="A90" s="219" t="s">
        <v>107</v>
      </c>
      <c r="B90" s="206"/>
      <c r="C90" s="221" t="s">
        <v>62</v>
      </c>
      <c r="D90" s="206"/>
      <c r="E90" s="207"/>
      <c r="F90" s="208"/>
      <c r="G90" s="209"/>
      <c r="H90" s="207"/>
      <c r="I90" s="209"/>
      <c r="J90" s="207"/>
      <c r="K90" s="209">
        <v>3573</v>
      </c>
      <c r="L90" s="241">
        <v>299.54000000000002</v>
      </c>
      <c r="M90" s="210">
        <f>K90*L90</f>
        <v>1070256.4200000002</v>
      </c>
      <c r="N90" s="209"/>
      <c r="O90" s="209">
        <v>2072.3399999999997</v>
      </c>
      <c r="P90" s="209"/>
      <c r="Q90" s="209"/>
      <c r="R90" s="211"/>
      <c r="S90" s="209"/>
      <c r="T90" s="209"/>
      <c r="U90" s="209"/>
      <c r="V90" s="209"/>
      <c r="W90" s="209">
        <f t="shared" si="79"/>
        <v>250.11</v>
      </c>
      <c r="X90" s="248">
        <v>14</v>
      </c>
      <c r="Y90" s="210">
        <f t="shared" si="80"/>
        <v>3501.54</v>
      </c>
      <c r="Z90" s="206"/>
      <c r="AA90" s="206"/>
      <c r="AB90" s="206"/>
      <c r="AC90" s="207"/>
      <c r="AD90" s="208"/>
      <c r="AE90" s="209"/>
      <c r="AF90" s="207"/>
      <c r="AG90" s="212"/>
      <c r="AH90" s="207"/>
      <c r="AI90" s="209">
        <v>1228.5</v>
      </c>
      <c r="AJ90" s="250">
        <v>299.14</v>
      </c>
      <c r="AK90" s="210">
        <v>367321.5</v>
      </c>
      <c r="AL90" s="209"/>
      <c r="AM90" s="209">
        <v>810.81000000000006</v>
      </c>
      <c r="AN90" s="209"/>
      <c r="AO90" s="212"/>
      <c r="AP90" s="207"/>
      <c r="AQ90" s="209"/>
      <c r="AR90" s="209"/>
      <c r="AS90" s="209"/>
      <c r="AT90" s="209"/>
      <c r="AU90" s="213"/>
      <c r="AV90" s="213"/>
      <c r="AW90" s="207"/>
      <c r="AX90" s="208"/>
      <c r="AY90" s="209"/>
      <c r="AZ90" s="207"/>
      <c r="BA90" s="209"/>
      <c r="BB90" s="207"/>
      <c r="BC90" s="209">
        <v>0</v>
      </c>
      <c r="BD90" s="247">
        <v>272.26</v>
      </c>
      <c r="BE90" s="210">
        <v>0</v>
      </c>
      <c r="BF90" s="209"/>
      <c r="BG90" s="209">
        <v>0</v>
      </c>
      <c r="BH90" s="209"/>
      <c r="BI90" s="209"/>
      <c r="BJ90" s="207"/>
      <c r="BK90" s="209"/>
      <c r="BL90" s="209"/>
      <c r="BM90" s="209"/>
      <c r="BN90" s="209"/>
      <c r="BO90" s="208"/>
      <c r="BP90" s="208"/>
      <c r="BQ90" s="208"/>
      <c r="BR90" s="208"/>
      <c r="BS90" s="208"/>
      <c r="BT90" s="208"/>
      <c r="BU90" s="208"/>
      <c r="BV90" s="208"/>
      <c r="BW90" s="208"/>
      <c r="BX90" s="209">
        <v>0</v>
      </c>
      <c r="BY90" s="247">
        <v>385.36</v>
      </c>
      <c r="BZ90" s="210">
        <v>0</v>
      </c>
      <c r="CA90" s="209"/>
      <c r="CB90" s="209">
        <v>0</v>
      </c>
      <c r="CC90" s="209"/>
      <c r="CD90" s="208"/>
      <c r="CE90" s="209"/>
      <c r="CF90" s="209"/>
      <c r="CG90" s="209"/>
      <c r="CH90" s="209"/>
      <c r="CI90" s="214">
        <v>0</v>
      </c>
      <c r="CJ90" s="216">
        <v>0</v>
      </c>
      <c r="CK90" s="214">
        <v>0</v>
      </c>
      <c r="CL90" s="214" t="s">
        <v>135</v>
      </c>
      <c r="CM90" s="214">
        <v>1440</v>
      </c>
      <c r="CN90" s="215">
        <v>150596</v>
      </c>
      <c r="CO90" s="214">
        <v>0</v>
      </c>
      <c r="CP90" s="216">
        <v>2249.79</v>
      </c>
      <c r="CQ90" s="214">
        <f t="shared" si="81"/>
        <v>0</v>
      </c>
      <c r="CR90" s="214">
        <v>0</v>
      </c>
      <c r="CS90" s="216">
        <v>445.51</v>
      </c>
      <c r="CT90" s="214">
        <f t="shared" si="89"/>
        <v>0</v>
      </c>
      <c r="CU90" s="214">
        <v>0</v>
      </c>
      <c r="CV90" s="216">
        <v>2249.79</v>
      </c>
      <c r="CW90" s="214">
        <f t="shared" si="82"/>
        <v>0</v>
      </c>
      <c r="CX90" s="214">
        <v>0</v>
      </c>
      <c r="CY90" s="216">
        <v>2249.79</v>
      </c>
      <c r="CZ90" s="214">
        <f t="shared" si="83"/>
        <v>0</v>
      </c>
      <c r="DA90" s="214">
        <v>500</v>
      </c>
      <c r="DB90" s="216">
        <v>464.26</v>
      </c>
      <c r="DC90" s="214">
        <f>DA90*DB90</f>
        <v>232130</v>
      </c>
      <c r="DD90" s="214">
        <v>20</v>
      </c>
      <c r="DE90" s="216">
        <v>2249.79</v>
      </c>
      <c r="DF90" s="214">
        <f>DD90*DE90</f>
        <v>44995.8</v>
      </c>
      <c r="DG90" s="214">
        <v>0</v>
      </c>
      <c r="DH90" s="216">
        <v>2249.79</v>
      </c>
      <c r="DI90" s="214">
        <f t="shared" si="86"/>
        <v>0</v>
      </c>
      <c r="DJ90" s="214">
        <v>0</v>
      </c>
      <c r="DK90" s="214">
        <v>504.26</v>
      </c>
      <c r="DL90" s="214">
        <f t="shared" si="87"/>
        <v>0</v>
      </c>
      <c r="DM90" s="214">
        <v>0</v>
      </c>
      <c r="DN90" s="216">
        <v>2249.79</v>
      </c>
      <c r="DO90" s="217">
        <f t="shared" si="88"/>
        <v>0</v>
      </c>
      <c r="DP90" s="196"/>
    </row>
    <row r="91" spans="1:120" x14ac:dyDescent="0.25">
      <c r="A91" s="199" t="s">
        <v>110</v>
      </c>
      <c r="B91" s="200">
        <v>224872</v>
      </c>
      <c r="C91" s="201"/>
      <c r="D91" s="200">
        <v>346900</v>
      </c>
      <c r="E91" s="202">
        <f t="shared" si="74"/>
        <v>0.64823292014989908</v>
      </c>
      <c r="F91" s="203"/>
      <c r="G91" s="110">
        <f t="shared" ref="G91:V91" si="94">SUM(G4:G90)</f>
        <v>147697.39849773014</v>
      </c>
      <c r="H91" s="110">
        <f t="shared" si="94"/>
        <v>11.244861340389919</v>
      </c>
      <c r="I91" s="110">
        <f t="shared" si="94"/>
        <v>169905</v>
      </c>
      <c r="J91" s="110">
        <f t="shared" si="94"/>
        <v>13.538165024630541</v>
      </c>
      <c r="K91" s="110">
        <f t="shared" si="94"/>
        <v>276761.72640000004</v>
      </c>
      <c r="L91" s="249">
        <f t="shared" si="94"/>
        <v>26059.98000000005</v>
      </c>
      <c r="M91" s="110">
        <f t="shared" si="94"/>
        <v>82901327.525856018</v>
      </c>
      <c r="N91" s="110">
        <f t="shared" si="94"/>
        <v>135924</v>
      </c>
      <c r="O91" s="110">
        <f t="shared" si="94"/>
        <v>160522.60131199998</v>
      </c>
      <c r="P91" s="110">
        <f t="shared" si="94"/>
        <v>124030.65</v>
      </c>
      <c r="Q91" s="110">
        <f t="shared" si="94"/>
        <v>194188</v>
      </c>
      <c r="R91" s="110">
        <f t="shared" si="94"/>
        <v>16.160450391644908</v>
      </c>
      <c r="S91" s="110">
        <f t="shared" si="94"/>
        <v>147582.88</v>
      </c>
      <c r="T91" s="110">
        <f t="shared" si="94"/>
        <v>155350.40000000002</v>
      </c>
      <c r="U91" s="110">
        <f t="shared" si="94"/>
        <v>85598.070399999997</v>
      </c>
      <c r="V91" s="110">
        <f t="shared" si="94"/>
        <v>141757.24</v>
      </c>
      <c r="W91" s="110"/>
      <c r="X91" s="249"/>
      <c r="Y91" s="110"/>
      <c r="Z91" s="110">
        <f>SUM(Z4:Z90)</f>
        <v>31143</v>
      </c>
      <c r="AA91" s="110"/>
      <c r="AB91" s="110">
        <f t="shared" ref="AB91:CH91" si="95">SUM(AB4:AB90)</f>
        <v>60500</v>
      </c>
      <c r="AC91" s="110">
        <f t="shared" si="95"/>
        <v>11.680516611520906</v>
      </c>
      <c r="AD91" s="110">
        <f t="shared" si="95"/>
        <v>86</v>
      </c>
      <c r="AE91" s="110">
        <f t="shared" si="95"/>
        <v>30046.7</v>
      </c>
      <c r="AF91" s="110">
        <f t="shared" si="95"/>
        <v>10.633515385630091</v>
      </c>
      <c r="AG91" s="110">
        <f t="shared" si="95"/>
        <v>34595.699999999997</v>
      </c>
      <c r="AH91" s="110">
        <f t="shared" si="95"/>
        <v>12.395225481707833</v>
      </c>
      <c r="AI91" s="110">
        <f t="shared" si="95"/>
        <v>54299.3</v>
      </c>
      <c r="AJ91" s="249">
        <f t="shared" si="95"/>
        <v>26025.179999999971</v>
      </c>
      <c r="AK91" s="110">
        <f t="shared" si="95"/>
        <v>16241967.138499999</v>
      </c>
      <c r="AL91" s="110">
        <f t="shared" si="95"/>
        <v>29606.3685</v>
      </c>
      <c r="AM91" s="110">
        <f t="shared" si="95"/>
        <v>35837.208000000006</v>
      </c>
      <c r="AN91" s="110">
        <f t="shared" si="95"/>
        <v>29406.345000000001</v>
      </c>
      <c r="AO91" s="110">
        <f t="shared" si="95"/>
        <v>38341.699999999997</v>
      </c>
      <c r="AP91" s="110">
        <f t="shared" si="95"/>
        <v>14.204249999999998</v>
      </c>
      <c r="AQ91" s="110">
        <f t="shared" si="95"/>
        <v>28756.275000000001</v>
      </c>
      <c r="AR91" s="110">
        <f t="shared" si="95"/>
        <v>31056.776999999998</v>
      </c>
      <c r="AS91" s="110">
        <f t="shared" si="95"/>
        <v>19554.267</v>
      </c>
      <c r="AT91" s="110">
        <f t="shared" si="95"/>
        <v>33740.695999999996</v>
      </c>
      <c r="AU91" s="110">
        <f t="shared" si="95"/>
        <v>36053</v>
      </c>
      <c r="AV91" s="110">
        <f t="shared" si="95"/>
        <v>145000</v>
      </c>
      <c r="AW91" s="110">
        <f t="shared" si="95"/>
        <v>4.8212798375436599</v>
      </c>
      <c r="AX91" s="110">
        <f t="shared" si="95"/>
        <v>86</v>
      </c>
      <c r="AY91" s="110">
        <f t="shared" si="95"/>
        <v>39744</v>
      </c>
      <c r="AZ91" s="110">
        <f t="shared" si="95"/>
        <v>5.2254838709677411</v>
      </c>
      <c r="BA91" s="110">
        <f t="shared" si="95"/>
        <v>41823</v>
      </c>
      <c r="BB91" s="110">
        <f t="shared" si="95"/>
        <v>5.485925925925927</v>
      </c>
      <c r="BC91" s="110">
        <f t="shared" si="95"/>
        <v>59609.4</v>
      </c>
      <c r="BD91" s="249">
        <f t="shared" si="95"/>
        <v>23686.61999999997</v>
      </c>
      <c r="BE91" s="110">
        <f t="shared" si="95"/>
        <v>16225507.863999998</v>
      </c>
      <c r="BF91" s="110">
        <f t="shared" si="95"/>
        <v>32412.606</v>
      </c>
      <c r="BG91" s="110">
        <f t="shared" si="95"/>
        <v>41129.551999999996</v>
      </c>
      <c r="BH91" s="110">
        <f t="shared" si="95"/>
        <v>34713.089999999997</v>
      </c>
      <c r="BI91" s="110">
        <f t="shared" si="95"/>
        <v>42921</v>
      </c>
      <c r="BJ91" s="110">
        <f t="shared" si="95"/>
        <v>5.6175475475475478</v>
      </c>
      <c r="BK91" s="110">
        <f t="shared" si="95"/>
        <v>30473.909999999996</v>
      </c>
      <c r="BL91" s="110">
        <f t="shared" si="95"/>
        <v>30903.119999999999</v>
      </c>
      <c r="BM91" s="110">
        <f t="shared" si="95"/>
        <v>21026.997899999998</v>
      </c>
      <c r="BN91" s="110">
        <f t="shared" si="95"/>
        <v>35624.43</v>
      </c>
      <c r="BO91" s="110">
        <f t="shared" si="95"/>
        <v>180</v>
      </c>
      <c r="BP91" s="110">
        <f t="shared" si="95"/>
        <v>70</v>
      </c>
      <c r="BQ91" s="110">
        <f t="shared" si="95"/>
        <v>30</v>
      </c>
      <c r="BR91" s="110">
        <f t="shared" si="95"/>
        <v>975</v>
      </c>
      <c r="BS91" s="110">
        <f t="shared" si="95"/>
        <v>2430.5</v>
      </c>
      <c r="BT91" s="110">
        <f t="shared" si="95"/>
        <v>2120.5</v>
      </c>
      <c r="BU91" s="110">
        <f t="shared" si="95"/>
        <v>1170</v>
      </c>
      <c r="BV91" s="110">
        <f t="shared" si="95"/>
        <v>1200</v>
      </c>
      <c r="BW91" s="110">
        <f t="shared" si="95"/>
        <v>1900</v>
      </c>
      <c r="BX91" s="110">
        <f t="shared" si="95"/>
        <v>2487.8000000000002</v>
      </c>
      <c r="BY91" s="249">
        <f t="shared" si="95"/>
        <v>12716.880000000005</v>
      </c>
      <c r="BZ91" s="111">
        <f t="shared" si="95"/>
        <v>958667.72</v>
      </c>
      <c r="CA91" s="110">
        <f t="shared" si="95"/>
        <v>1443.7259999999999</v>
      </c>
      <c r="CB91" s="110">
        <f t="shared" si="95"/>
        <v>1716.5819999999997</v>
      </c>
      <c r="CC91" s="110">
        <f t="shared" si="95"/>
        <v>1577</v>
      </c>
      <c r="CD91" s="110">
        <f t="shared" si="95"/>
        <v>3200</v>
      </c>
      <c r="CE91" s="110">
        <f t="shared" si="95"/>
        <v>2112</v>
      </c>
      <c r="CF91" s="110">
        <f t="shared" si="95"/>
        <v>2304</v>
      </c>
      <c r="CG91" s="110">
        <f t="shared" si="95"/>
        <v>1442.7072000000003</v>
      </c>
      <c r="CH91" s="110">
        <f t="shared" si="95"/>
        <v>2655.9999999999991</v>
      </c>
      <c r="CI91" s="110">
        <f>SUM(CI4:CI90)-CI85</f>
        <v>1500</v>
      </c>
      <c r="CJ91" s="249">
        <v>1351</v>
      </c>
      <c r="CK91" s="110">
        <f>SUM(CK4:CK90)</f>
        <v>2566900</v>
      </c>
      <c r="CL91" s="110"/>
      <c r="CM91" s="110"/>
      <c r="CN91" s="110">
        <f>SUM(CN4:CN90)</f>
        <v>9043336</v>
      </c>
      <c r="CO91" s="110">
        <f>SUM(CO4:CO90)</f>
        <v>1943</v>
      </c>
      <c r="CP91" s="249">
        <v>2249.79</v>
      </c>
      <c r="CQ91" s="110">
        <f>SUM(CQ4:CQ90)</f>
        <v>4371341.9700000007</v>
      </c>
      <c r="CR91" s="110">
        <f>SUM(CR4:CR90)</f>
        <v>4980</v>
      </c>
      <c r="CS91" s="249">
        <v>445.51</v>
      </c>
      <c r="CT91" s="110">
        <f>SUM(CT4:CT90)</f>
        <v>2218639.7999999998</v>
      </c>
      <c r="CU91" s="110">
        <f>SUM(CU4:CU90)</f>
        <v>444</v>
      </c>
      <c r="CV91" s="249">
        <v>2249.79</v>
      </c>
      <c r="CW91" s="110">
        <f>SUM(CW4:CW90)</f>
        <v>998906.76</v>
      </c>
      <c r="CX91" s="110">
        <f>SUM(CX4:CX90)</f>
        <v>94</v>
      </c>
      <c r="CY91" s="249">
        <v>2249.79</v>
      </c>
      <c r="CZ91" s="110">
        <f>SUM(CZ4:CZ90)</f>
        <v>211480.26</v>
      </c>
      <c r="DA91" s="110">
        <f>SUM(DA4:DA90)</f>
        <v>2440</v>
      </c>
      <c r="DB91" s="249">
        <v>464.26</v>
      </c>
      <c r="DC91" s="110">
        <f>SUM(DC4:DC90)</f>
        <v>1132794.3999999999</v>
      </c>
      <c r="DD91" s="110">
        <f>SUM(DD4:DD90)</f>
        <v>132</v>
      </c>
      <c r="DE91" s="111">
        <v>2249.79</v>
      </c>
      <c r="DF91" s="110">
        <f>SUM(DF4:DF90)</f>
        <v>296972.27999999997</v>
      </c>
      <c r="DG91" s="110">
        <f>SUM(DG4:DG90)</f>
        <v>24</v>
      </c>
      <c r="DH91" s="110">
        <v>1125</v>
      </c>
      <c r="DI91" s="110">
        <f>SUM(DI4:DI90)</f>
        <v>53994.96</v>
      </c>
      <c r="DJ91" s="110">
        <f>SUM(DJ4:DJ90)</f>
        <v>700</v>
      </c>
      <c r="DK91" s="111">
        <v>504.26</v>
      </c>
      <c r="DL91" s="110">
        <f>SUM(DL4:DL90)</f>
        <v>352982</v>
      </c>
      <c r="DM91" s="110">
        <f>SUM(DM4:DM90)</f>
        <v>28</v>
      </c>
      <c r="DN91" s="110">
        <v>1125</v>
      </c>
      <c r="DO91" s="110">
        <f>SUM(DO4:DO90)</f>
        <v>62994.12000000001</v>
      </c>
    </row>
    <row r="92" spans="1:120" x14ac:dyDescent="0.25">
      <c r="A92" s="146"/>
      <c r="B92" s="2"/>
      <c r="C92" s="52" t="s">
        <v>168</v>
      </c>
      <c r="D92" s="2"/>
      <c r="E92" s="3"/>
      <c r="F92" s="15"/>
      <c r="G92" s="6"/>
      <c r="H92" s="6"/>
      <c r="I92" s="6"/>
      <c r="J92" s="6"/>
      <c r="K92" s="6">
        <f>K4+K6+K8+K19+K25+K28+K29+K34+K36+K41+K44+K46+K49+K54+K59+K60+K62+K63+K65+K69+K71+K73+K79+K83+K85</f>
        <v>142767.80000000002</v>
      </c>
      <c r="L92" s="250"/>
      <c r="M92" s="6">
        <f>M4+M6+M8+M19+M25+M28+M29+M34+M36+M41+M44+M46+M49+M54+M59+M60+M62+M63+M65+M69+M71+M73+M79+M83+M85</f>
        <v>42764666.812000006</v>
      </c>
      <c r="N92" s="6">
        <f t="shared" ref="N92:BY92" si="96">N4+N6+N8+N19+N25+N28+N29+N34+N36+N41+N44+N46+N49+N54+N59+N60+N62+N63+N65+N69+N71+N73+N79+N83+N85</f>
        <v>135924</v>
      </c>
      <c r="O92" s="6">
        <f t="shared" si="96"/>
        <v>82805.123999999996</v>
      </c>
      <c r="P92" s="6">
        <f t="shared" si="96"/>
        <v>124030.65</v>
      </c>
      <c r="Q92" s="6">
        <f t="shared" si="96"/>
        <v>194188</v>
      </c>
      <c r="R92" s="6">
        <f t="shared" si="96"/>
        <v>16.160450391644908</v>
      </c>
      <c r="S92" s="6">
        <f t="shared" si="96"/>
        <v>147582.88</v>
      </c>
      <c r="T92" s="6">
        <f t="shared" si="96"/>
        <v>155350.40000000002</v>
      </c>
      <c r="U92" s="6">
        <f t="shared" si="96"/>
        <v>85598.070399999997</v>
      </c>
      <c r="V92" s="6">
        <f t="shared" si="96"/>
        <v>141757.24</v>
      </c>
      <c r="W92" s="6">
        <f t="shared" si="96"/>
        <v>9993.746000000001</v>
      </c>
      <c r="X92" s="250"/>
      <c r="Y92" s="6">
        <f t="shared" si="96"/>
        <v>139912.44400000002</v>
      </c>
      <c r="Z92" s="6">
        <f t="shared" si="96"/>
        <v>31143</v>
      </c>
      <c r="AA92" s="6">
        <f t="shared" si="96"/>
        <v>0</v>
      </c>
      <c r="AB92" s="6">
        <f t="shared" si="96"/>
        <v>60500</v>
      </c>
      <c r="AC92" s="6">
        <f t="shared" si="96"/>
        <v>11.680516611520906</v>
      </c>
      <c r="AD92" s="6">
        <f t="shared" si="96"/>
        <v>86</v>
      </c>
      <c r="AE92" s="6">
        <f t="shared" si="96"/>
        <v>30046.7</v>
      </c>
      <c r="AF92" s="6">
        <f t="shared" si="96"/>
        <v>10.633515385630091</v>
      </c>
      <c r="AG92" s="6">
        <f t="shared" si="96"/>
        <v>34595.699999999997</v>
      </c>
      <c r="AH92" s="6">
        <f t="shared" si="96"/>
        <v>12.395225481707833</v>
      </c>
      <c r="AI92" s="6">
        <f t="shared" si="96"/>
        <v>27980.775000000001</v>
      </c>
      <c r="AJ92" s="250">
        <f t="shared" si="96"/>
        <v>7478.5000000000027</v>
      </c>
      <c r="AK92" s="6">
        <f t="shared" si="96"/>
        <v>8370169.0334999999</v>
      </c>
      <c r="AL92" s="6">
        <f t="shared" si="96"/>
        <v>28022.517</v>
      </c>
      <c r="AM92" s="6">
        <f t="shared" si="96"/>
        <v>18467.311500000003</v>
      </c>
      <c r="AN92" s="6">
        <f t="shared" si="96"/>
        <v>29406.345000000001</v>
      </c>
      <c r="AO92" s="6">
        <f t="shared" si="96"/>
        <v>38341.699999999997</v>
      </c>
      <c r="AP92" s="6">
        <f t="shared" si="96"/>
        <v>14.204249999999998</v>
      </c>
      <c r="AQ92" s="6">
        <f t="shared" si="96"/>
        <v>28756.275000000001</v>
      </c>
      <c r="AR92" s="6">
        <f t="shared" si="96"/>
        <v>31056.776999999998</v>
      </c>
      <c r="AS92" s="6">
        <f t="shared" si="96"/>
        <v>19554.267</v>
      </c>
      <c r="AT92" s="6">
        <f t="shared" si="96"/>
        <v>33740.695999999996</v>
      </c>
      <c r="AU92" s="6">
        <f t="shared" si="96"/>
        <v>36053</v>
      </c>
      <c r="AV92" s="6">
        <f t="shared" si="96"/>
        <v>145000</v>
      </c>
      <c r="AW92" s="6">
        <f t="shared" si="96"/>
        <v>4.8212798375436599</v>
      </c>
      <c r="AX92" s="6">
        <f t="shared" si="96"/>
        <v>86</v>
      </c>
      <c r="AY92" s="6">
        <f t="shared" si="96"/>
        <v>39744</v>
      </c>
      <c r="AZ92" s="6">
        <f t="shared" si="96"/>
        <v>5.2254838709677411</v>
      </c>
      <c r="BA92" s="6">
        <f t="shared" si="96"/>
        <v>41823</v>
      </c>
      <c r="BB92" s="6">
        <f t="shared" si="96"/>
        <v>5.485925925925927</v>
      </c>
      <c r="BC92" s="6">
        <f t="shared" si="96"/>
        <v>30242.1</v>
      </c>
      <c r="BD92" s="250">
        <f t="shared" si="96"/>
        <v>6806.5000000000036</v>
      </c>
      <c r="BE92" s="6">
        <f t="shared" si="96"/>
        <v>8233714.1459999979</v>
      </c>
      <c r="BF92" s="6">
        <f t="shared" si="96"/>
        <v>30112.560000000001</v>
      </c>
      <c r="BG92" s="6">
        <f t="shared" si="96"/>
        <v>20867.048999999995</v>
      </c>
      <c r="BH92" s="6">
        <f t="shared" si="96"/>
        <v>34713.089999999997</v>
      </c>
      <c r="BI92" s="6">
        <f t="shared" si="96"/>
        <v>42921</v>
      </c>
      <c r="BJ92" s="6">
        <f t="shared" si="96"/>
        <v>5.6175475475475478</v>
      </c>
      <c r="BK92" s="6">
        <f t="shared" si="96"/>
        <v>30473.909999999996</v>
      </c>
      <c r="BL92" s="6">
        <f t="shared" si="96"/>
        <v>30903.119999999999</v>
      </c>
      <c r="BM92" s="6">
        <f t="shared" si="96"/>
        <v>21026.997899999998</v>
      </c>
      <c r="BN92" s="6">
        <f t="shared" si="96"/>
        <v>35624.43</v>
      </c>
      <c r="BO92" s="6">
        <f t="shared" si="96"/>
        <v>180</v>
      </c>
      <c r="BP92" s="6">
        <f t="shared" si="96"/>
        <v>70</v>
      </c>
      <c r="BQ92" s="6">
        <f t="shared" si="96"/>
        <v>30</v>
      </c>
      <c r="BR92" s="6">
        <f t="shared" si="96"/>
        <v>975</v>
      </c>
      <c r="BS92" s="6">
        <f t="shared" si="96"/>
        <v>2430.5</v>
      </c>
      <c r="BT92" s="6">
        <f t="shared" si="96"/>
        <v>2120.5</v>
      </c>
      <c r="BU92" s="6">
        <f t="shared" si="96"/>
        <v>1170</v>
      </c>
      <c r="BV92" s="6">
        <f t="shared" si="96"/>
        <v>1200</v>
      </c>
      <c r="BW92" s="6">
        <f t="shared" si="96"/>
        <v>1900</v>
      </c>
      <c r="BX92" s="6">
        <f t="shared" si="96"/>
        <v>1244.1000000000001</v>
      </c>
      <c r="BY92" s="250">
        <f t="shared" si="96"/>
        <v>5395.04</v>
      </c>
      <c r="BZ92" s="54">
        <f t="shared" ref="BZ92:DO92" si="97">BZ4+BZ6+BZ8+BZ19+BZ25+BZ28+BZ29+BZ34+BZ36+BZ41+BZ44+BZ46+BZ49+BZ54+BZ59+BZ60+BZ62+BZ63+BZ65+BZ69+BZ71+BZ73+BZ79+BZ83+BZ85</f>
        <v>479426.37599999999</v>
      </c>
      <c r="CA92" s="6">
        <f t="shared" si="97"/>
        <v>1364.0309999999999</v>
      </c>
      <c r="CB92" s="6">
        <f t="shared" si="97"/>
        <v>858.42899999999986</v>
      </c>
      <c r="CC92" s="6">
        <f t="shared" si="97"/>
        <v>1577</v>
      </c>
      <c r="CD92" s="6">
        <f t="shared" si="97"/>
        <v>3200</v>
      </c>
      <c r="CE92" s="6">
        <f t="shared" si="97"/>
        <v>2112</v>
      </c>
      <c r="CF92" s="6">
        <f t="shared" si="97"/>
        <v>2304</v>
      </c>
      <c r="CG92" s="6">
        <f t="shared" si="97"/>
        <v>1442.7072000000003</v>
      </c>
      <c r="CH92" s="6">
        <f t="shared" si="97"/>
        <v>2655.9999999999991</v>
      </c>
      <c r="CI92" s="6"/>
      <c r="CJ92" s="250"/>
      <c r="CK92" s="6"/>
      <c r="CL92" s="6"/>
      <c r="CM92" s="6"/>
      <c r="CN92" s="6">
        <f t="shared" si="97"/>
        <v>4685524</v>
      </c>
      <c r="CO92" s="6">
        <f t="shared" si="97"/>
        <v>978</v>
      </c>
      <c r="CP92" s="250"/>
      <c r="CQ92" s="6">
        <f t="shared" si="97"/>
        <v>2200294.62</v>
      </c>
      <c r="CR92" s="6">
        <f t="shared" si="97"/>
        <v>2490</v>
      </c>
      <c r="CS92" s="250"/>
      <c r="CT92" s="6">
        <f t="shared" si="97"/>
        <v>1109319.8999999999</v>
      </c>
      <c r="CU92" s="6">
        <f t="shared" si="97"/>
        <v>222</v>
      </c>
      <c r="CV92" s="250"/>
      <c r="CW92" s="6">
        <f t="shared" si="97"/>
        <v>499453.38</v>
      </c>
      <c r="CX92" s="6">
        <f t="shared" si="97"/>
        <v>47</v>
      </c>
      <c r="CY92" s="250"/>
      <c r="CZ92" s="6">
        <f t="shared" si="97"/>
        <v>105740.13</v>
      </c>
      <c r="DA92" s="6">
        <f t="shared" si="97"/>
        <v>1220</v>
      </c>
      <c r="DB92" s="250"/>
      <c r="DC92" s="6">
        <f t="shared" si="97"/>
        <v>566397.19999999995</v>
      </c>
      <c r="DD92" s="6">
        <f t="shared" si="97"/>
        <v>66</v>
      </c>
      <c r="DE92" s="6"/>
      <c r="DF92" s="6">
        <f t="shared" si="97"/>
        <v>148486.14000000001</v>
      </c>
      <c r="DG92" s="6">
        <f t="shared" si="97"/>
        <v>12</v>
      </c>
      <c r="DH92" s="6"/>
      <c r="DI92" s="6">
        <f t="shared" si="97"/>
        <v>26997.48</v>
      </c>
      <c r="DJ92" s="6">
        <f t="shared" si="97"/>
        <v>350</v>
      </c>
      <c r="DK92" s="6"/>
      <c r="DL92" s="6">
        <f t="shared" si="97"/>
        <v>176491</v>
      </c>
      <c r="DM92" s="6">
        <f t="shared" si="97"/>
        <v>14</v>
      </c>
      <c r="DN92" s="6"/>
      <c r="DO92" s="6">
        <f t="shared" si="97"/>
        <v>31497.06</v>
      </c>
    </row>
    <row r="93" spans="1:120" x14ac:dyDescent="0.25">
      <c r="A93" s="146"/>
      <c r="B93" s="2"/>
      <c r="C93" s="52" t="s">
        <v>169</v>
      </c>
      <c r="D93" s="2"/>
      <c r="E93" s="3"/>
      <c r="F93" s="15"/>
      <c r="G93" s="6"/>
      <c r="H93" s="6"/>
      <c r="I93" s="6"/>
      <c r="J93" s="6"/>
      <c r="K93" s="6">
        <f>K5+K7+K9+K10+K11+K12+K13+K14+K15+K16+K17+K18+K20+K21+K22+K23+K24+K26+K27++K28+K30+K31+K32+K33+K35+K37+K38+K39+K40+K42+K43+K47+K48+K50+K51+K52+K53+K55+K56+K57+K58+K59+K61+K62+K64+K66+K67+K68+K70+K72+K74+K75+K76+K77+K78+K80+K81+K82+K84+K86+K87+K88+K89+K90+K45</f>
        <v>142767.3664</v>
      </c>
      <c r="L93" s="250"/>
      <c r="M93" s="6">
        <f>M5+M7+M9+M10+M11+M12+M13+M14+M15+M16+M17+M18+M20+M21+M22+M23+M24+M26+M27++M28+M30+M31+M32+M33+M35+M37+M38+M39+M40+M42+M43+M47+M48+M50+M51+M52+M53+M55+M56+M57+M58+M59+M61+M62+M64+M66+M67+M68+M70+M72+M74+M75+M76+M77+M78+M80+M81+M82+M84+M86+M87+M88+M89+M90+M45</f>
        <v>42764656.931455985</v>
      </c>
      <c r="N93" s="6">
        <f t="shared" ref="N93:BY93" si="98">N5+N7+N9+N10+N11+N12+N13+N14+N15+N16+N17+N18+N20+N21+N22+N23+N24+N26+N27++N28+N30+N31+N32+N33+N35+N37+N38+N39+N40+N42+N43+N47+N48+N50+N51+N52+N53+N55+N56+N57+N58+N59+N61+N62+N64+N66+N67+N68+N70+N72+N74+N75+N76+N77+N78+N80+N81+N82+N84+N86+N87+N88+N89+N90+N45</f>
        <v>9235.2000000000007</v>
      </c>
      <c r="O93" s="6">
        <f t="shared" si="98"/>
        <v>82806.072511999999</v>
      </c>
      <c r="P93" s="6">
        <f t="shared" si="98"/>
        <v>8427.119999999999</v>
      </c>
      <c r="Q93" s="6">
        <f t="shared" si="98"/>
        <v>15332</v>
      </c>
      <c r="R93" s="6">
        <f t="shared" si="98"/>
        <v>1.98</v>
      </c>
      <c r="S93" s="6">
        <f t="shared" si="98"/>
        <v>11652.32</v>
      </c>
      <c r="T93" s="6">
        <f t="shared" si="98"/>
        <v>12265.6</v>
      </c>
      <c r="U93" s="6">
        <f t="shared" si="98"/>
        <v>6758.3455999999996</v>
      </c>
      <c r="V93" s="6">
        <f t="shared" si="98"/>
        <v>11192.36</v>
      </c>
      <c r="W93" s="6">
        <f t="shared" si="98"/>
        <v>9993.7156480000012</v>
      </c>
      <c r="X93" s="250"/>
      <c r="Y93" s="6">
        <f t="shared" si="98"/>
        <v>139912.01907200005</v>
      </c>
      <c r="Z93" s="6">
        <f t="shared" si="98"/>
        <v>1764</v>
      </c>
      <c r="AA93" s="6">
        <f t="shared" si="98"/>
        <v>0</v>
      </c>
      <c r="AB93" s="6">
        <f t="shared" si="98"/>
        <v>4000</v>
      </c>
      <c r="AC93" s="6">
        <f t="shared" si="98"/>
        <v>1.4016052631578948</v>
      </c>
      <c r="AD93" s="6">
        <f t="shared" si="98"/>
        <v>6</v>
      </c>
      <c r="AE93" s="6">
        <f t="shared" si="98"/>
        <v>1638</v>
      </c>
      <c r="AF93" s="6">
        <f t="shared" si="98"/>
        <v>1.3119999999999998</v>
      </c>
      <c r="AG93" s="6">
        <f t="shared" si="98"/>
        <v>2217</v>
      </c>
      <c r="AH93" s="6">
        <f t="shared" si="98"/>
        <v>1.63</v>
      </c>
      <c r="AI93" s="6">
        <f t="shared" si="98"/>
        <v>27981.275000000001</v>
      </c>
      <c r="AJ93" s="250">
        <f t="shared" si="98"/>
        <v>19444.099999999984</v>
      </c>
      <c r="AK93" s="6">
        <f t="shared" si="98"/>
        <v>8369193.1399999987</v>
      </c>
      <c r="AL93" s="6">
        <f t="shared" si="98"/>
        <v>3379.6215000000002</v>
      </c>
      <c r="AM93" s="6">
        <f t="shared" si="98"/>
        <v>18467.311500000003</v>
      </c>
      <c r="AN93" s="6">
        <f t="shared" si="98"/>
        <v>1884.4499999999998</v>
      </c>
      <c r="AO93" s="6">
        <f t="shared" si="98"/>
        <v>2473</v>
      </c>
      <c r="AP93" s="6">
        <f t="shared" si="98"/>
        <v>1.8399999999999999</v>
      </c>
      <c r="AQ93" s="6">
        <f t="shared" si="98"/>
        <v>1854.75</v>
      </c>
      <c r="AR93" s="6">
        <f t="shared" si="98"/>
        <v>2003.13</v>
      </c>
      <c r="AS93" s="6">
        <f t="shared" si="98"/>
        <v>1261.23</v>
      </c>
      <c r="AT93" s="6">
        <f t="shared" si="98"/>
        <v>2176.2399999999998</v>
      </c>
      <c r="AU93" s="6">
        <f t="shared" si="98"/>
        <v>1042</v>
      </c>
      <c r="AV93" s="6">
        <f t="shared" si="98"/>
        <v>9100</v>
      </c>
      <c r="AW93" s="6">
        <f t="shared" si="98"/>
        <v>0.35830346475507768</v>
      </c>
      <c r="AX93" s="6">
        <f t="shared" si="98"/>
        <v>2</v>
      </c>
      <c r="AY93" s="6">
        <f t="shared" si="98"/>
        <v>1172</v>
      </c>
      <c r="AZ93" s="6">
        <f t="shared" si="98"/>
        <v>0.4</v>
      </c>
      <c r="BA93" s="6">
        <f t="shared" si="98"/>
        <v>1250</v>
      </c>
      <c r="BB93" s="6">
        <f t="shared" si="98"/>
        <v>0.42592592592592593</v>
      </c>
      <c r="BC93" s="6">
        <f t="shared" si="98"/>
        <v>30242.3</v>
      </c>
      <c r="BD93" s="250">
        <f t="shared" si="98"/>
        <v>17696.900000000005</v>
      </c>
      <c r="BE93" s="6">
        <f t="shared" si="98"/>
        <v>8230021.2179999985</v>
      </c>
      <c r="BF93" s="6">
        <f t="shared" si="98"/>
        <v>3200.0459999999994</v>
      </c>
      <c r="BG93" s="6">
        <f t="shared" si="98"/>
        <v>20866.252999999997</v>
      </c>
      <c r="BH93" s="6">
        <f t="shared" si="98"/>
        <v>1037.5</v>
      </c>
      <c r="BI93" s="6">
        <f t="shared" si="98"/>
        <v>1281</v>
      </c>
      <c r="BJ93" s="6">
        <f t="shared" si="98"/>
        <v>0.43592592592592594</v>
      </c>
      <c r="BK93" s="6">
        <f t="shared" si="98"/>
        <v>909.51</v>
      </c>
      <c r="BL93" s="6">
        <f t="shared" si="98"/>
        <v>922.31999999999994</v>
      </c>
      <c r="BM93" s="6">
        <f t="shared" si="98"/>
        <v>627.56189999999992</v>
      </c>
      <c r="BN93" s="6">
        <f t="shared" si="98"/>
        <v>1063.23</v>
      </c>
      <c r="BO93" s="6">
        <f t="shared" si="98"/>
        <v>0</v>
      </c>
      <c r="BP93" s="6">
        <f t="shared" si="98"/>
        <v>0</v>
      </c>
      <c r="BQ93" s="6">
        <f t="shared" si="98"/>
        <v>0</v>
      </c>
      <c r="BR93" s="6">
        <f t="shared" si="98"/>
        <v>0</v>
      </c>
      <c r="BS93" s="6">
        <f t="shared" si="98"/>
        <v>61.100000000000009</v>
      </c>
      <c r="BT93" s="6">
        <f t="shared" si="98"/>
        <v>32</v>
      </c>
      <c r="BU93" s="6">
        <f t="shared" si="98"/>
        <v>20</v>
      </c>
      <c r="BV93" s="6">
        <f t="shared" si="98"/>
        <v>0</v>
      </c>
      <c r="BW93" s="6">
        <f t="shared" si="98"/>
        <v>0</v>
      </c>
      <c r="BX93" s="6">
        <f t="shared" si="98"/>
        <v>1243.7</v>
      </c>
      <c r="BY93" s="250">
        <f t="shared" si="98"/>
        <v>7707.199999999998</v>
      </c>
      <c r="BZ93" s="54">
        <f t="shared" ref="BZ93:DO93" si="99">BZ5+BZ7+BZ9+BZ10+BZ11+BZ12+BZ13+BZ14+BZ15+BZ16+BZ17+BZ18+BZ20+BZ21+BZ22+BZ23+BZ24+BZ26+BZ27++BZ28+BZ30+BZ31+BZ32+BZ33+BZ35+BZ37+BZ38+BZ39+BZ40+BZ42+BZ43+BZ47+BZ48+BZ50+BZ51+BZ52+BZ53+BZ55+BZ56+BZ57+BZ58+BZ59+BZ61+BZ62+BZ64+BZ66+BZ67+BZ68+BZ70+BZ72+BZ74+BZ75+BZ76+BZ77+BZ78+BZ80+BZ81+BZ82+BZ84+BZ86+BZ87+BZ88+BZ89+BZ90+BZ45</f>
        <v>479241.34400000004</v>
      </c>
      <c r="CA93" s="6">
        <f t="shared" si="99"/>
        <v>79.695000000000007</v>
      </c>
      <c r="CB93" s="6">
        <f t="shared" si="99"/>
        <v>858.15300000000002</v>
      </c>
      <c r="CC93" s="6">
        <f t="shared" si="99"/>
        <v>0</v>
      </c>
      <c r="CD93" s="6">
        <f t="shared" si="99"/>
        <v>0</v>
      </c>
      <c r="CE93" s="6">
        <f t="shared" si="99"/>
        <v>0</v>
      </c>
      <c r="CF93" s="6">
        <f t="shared" si="99"/>
        <v>0</v>
      </c>
      <c r="CG93" s="6">
        <f t="shared" si="99"/>
        <v>0</v>
      </c>
      <c r="CH93" s="6">
        <f t="shared" si="99"/>
        <v>0</v>
      </c>
      <c r="CI93" s="18"/>
      <c r="CJ93" s="250"/>
      <c r="CK93" s="6"/>
      <c r="CL93" s="6"/>
      <c r="CM93" s="6"/>
      <c r="CN93" s="6">
        <f t="shared" si="99"/>
        <v>4685524</v>
      </c>
      <c r="CO93" s="6">
        <f t="shared" si="99"/>
        <v>978</v>
      </c>
      <c r="CP93" s="250"/>
      <c r="CQ93" s="6">
        <f t="shared" si="99"/>
        <v>2200294.62</v>
      </c>
      <c r="CR93" s="6">
        <f t="shared" si="99"/>
        <v>2490</v>
      </c>
      <c r="CS93" s="250"/>
      <c r="CT93" s="6">
        <f t="shared" si="99"/>
        <v>1109319.8999999999</v>
      </c>
      <c r="CU93" s="6">
        <f t="shared" si="99"/>
        <v>222</v>
      </c>
      <c r="CV93" s="250"/>
      <c r="CW93" s="6">
        <f t="shared" si="99"/>
        <v>499453.38</v>
      </c>
      <c r="CX93" s="6">
        <f t="shared" si="99"/>
        <v>47</v>
      </c>
      <c r="CY93" s="250"/>
      <c r="CZ93" s="6">
        <f t="shared" si="99"/>
        <v>105740.13</v>
      </c>
      <c r="DA93" s="6">
        <f t="shared" si="99"/>
        <v>1220</v>
      </c>
      <c r="DB93" s="250"/>
      <c r="DC93" s="6">
        <f t="shared" si="99"/>
        <v>566397.19999999995</v>
      </c>
      <c r="DD93" s="6">
        <f t="shared" si="99"/>
        <v>66</v>
      </c>
      <c r="DE93" s="6"/>
      <c r="DF93" s="6">
        <f t="shared" si="99"/>
        <v>148486.14000000001</v>
      </c>
      <c r="DG93" s="6">
        <f t="shared" si="99"/>
        <v>12</v>
      </c>
      <c r="DH93" s="6"/>
      <c r="DI93" s="6">
        <f t="shared" si="99"/>
        <v>26997.48</v>
      </c>
      <c r="DJ93" s="6">
        <f t="shared" si="99"/>
        <v>350</v>
      </c>
      <c r="DK93" s="6"/>
      <c r="DL93" s="6">
        <f t="shared" si="99"/>
        <v>176491</v>
      </c>
      <c r="DM93" s="6">
        <f t="shared" si="99"/>
        <v>14</v>
      </c>
      <c r="DN93" s="6"/>
      <c r="DO93" s="6">
        <f t="shared" si="99"/>
        <v>31497.06</v>
      </c>
    </row>
    <row r="94" spans="1:120" x14ac:dyDescent="0.25">
      <c r="A94" s="146"/>
      <c r="B94" s="2"/>
      <c r="C94" s="52" t="s">
        <v>123</v>
      </c>
      <c r="D94" s="2"/>
      <c r="E94" s="3"/>
      <c r="F94" s="15"/>
      <c r="G94" s="6"/>
      <c r="H94" s="6"/>
      <c r="I94" s="6"/>
      <c r="J94" s="6"/>
      <c r="K94" s="6">
        <f>K93-K92</f>
        <v>-0.43360000001848675</v>
      </c>
      <c r="L94" s="250"/>
      <c r="M94" s="184">
        <f>M93-M92</f>
        <v>-9.8805440217256546</v>
      </c>
      <c r="N94" s="184">
        <f t="shared" ref="N94:BX94" si="100">N93-N92</f>
        <v>-126688.8</v>
      </c>
      <c r="O94" s="184">
        <f t="shared" si="100"/>
        <v>0.94851200000266545</v>
      </c>
      <c r="P94" s="6">
        <f t="shared" si="100"/>
        <v>-115603.53</v>
      </c>
      <c r="Q94" s="6">
        <f t="shared" si="100"/>
        <v>-178856</v>
      </c>
      <c r="R94" s="6">
        <f t="shared" si="100"/>
        <v>-14.180450391644907</v>
      </c>
      <c r="S94" s="6">
        <f t="shared" si="100"/>
        <v>-135930.56</v>
      </c>
      <c r="T94" s="6">
        <f t="shared" si="100"/>
        <v>-143084.80000000002</v>
      </c>
      <c r="U94" s="6">
        <f t="shared" si="100"/>
        <v>-78839.724799999996</v>
      </c>
      <c r="V94" s="6">
        <f t="shared" si="100"/>
        <v>-130564.87999999999</v>
      </c>
      <c r="W94" s="6">
        <f t="shared" si="100"/>
        <v>-3.0351999999766122E-2</v>
      </c>
      <c r="X94" s="250"/>
      <c r="Y94" s="6">
        <f t="shared" si="100"/>
        <v>-0.42492799996398389</v>
      </c>
      <c r="Z94" s="6">
        <f t="shared" si="100"/>
        <v>-29379</v>
      </c>
      <c r="AA94" s="6">
        <f t="shared" si="100"/>
        <v>0</v>
      </c>
      <c r="AB94" s="6">
        <f t="shared" si="100"/>
        <v>-56500</v>
      </c>
      <c r="AC94" s="6">
        <f t="shared" si="100"/>
        <v>-10.27891134836301</v>
      </c>
      <c r="AD94" s="6">
        <f t="shared" si="100"/>
        <v>-80</v>
      </c>
      <c r="AE94" s="6">
        <f t="shared" si="100"/>
        <v>-28408.7</v>
      </c>
      <c r="AF94" s="6">
        <f t="shared" si="100"/>
        <v>-9.3215153856300912</v>
      </c>
      <c r="AG94" s="6">
        <f t="shared" si="100"/>
        <v>-32378.699999999997</v>
      </c>
      <c r="AH94" s="6">
        <f t="shared" si="100"/>
        <v>-10.765225481707834</v>
      </c>
      <c r="AI94" s="184">
        <f t="shared" si="100"/>
        <v>0.5</v>
      </c>
      <c r="AJ94" s="250"/>
      <c r="AK94" s="184">
        <f t="shared" si="100"/>
        <v>-975.89350000116974</v>
      </c>
      <c r="AL94" s="6">
        <f t="shared" si="100"/>
        <v>-24642.895499999999</v>
      </c>
      <c r="AM94" s="18">
        <f t="shared" si="100"/>
        <v>0</v>
      </c>
      <c r="AN94" s="18">
        <f t="shared" si="100"/>
        <v>-27521.895</v>
      </c>
      <c r="AO94" s="18">
        <f t="shared" si="100"/>
        <v>-35868.699999999997</v>
      </c>
      <c r="AP94" s="18">
        <f t="shared" si="100"/>
        <v>-12.364249999999998</v>
      </c>
      <c r="AQ94" s="18">
        <f t="shared" si="100"/>
        <v>-26901.525000000001</v>
      </c>
      <c r="AR94" s="18">
        <f t="shared" si="100"/>
        <v>-29053.646999999997</v>
      </c>
      <c r="AS94" s="18">
        <f t="shared" si="100"/>
        <v>-18293.037</v>
      </c>
      <c r="AT94" s="18">
        <f t="shared" si="100"/>
        <v>-31564.455999999998</v>
      </c>
      <c r="AU94" s="18">
        <f t="shared" si="100"/>
        <v>-35011</v>
      </c>
      <c r="AV94" s="18">
        <f t="shared" si="100"/>
        <v>-135900</v>
      </c>
      <c r="AW94" s="18">
        <f t="shared" si="100"/>
        <v>-4.4629763727885825</v>
      </c>
      <c r="AX94" s="18">
        <f t="shared" si="100"/>
        <v>-84</v>
      </c>
      <c r="AY94" s="18">
        <f t="shared" si="100"/>
        <v>-38572</v>
      </c>
      <c r="AZ94" s="18">
        <f t="shared" si="100"/>
        <v>-4.8254838709677408</v>
      </c>
      <c r="BA94" s="18">
        <f t="shared" si="100"/>
        <v>-40573</v>
      </c>
      <c r="BB94" s="18">
        <f t="shared" si="100"/>
        <v>-5.0600000000000014</v>
      </c>
      <c r="BC94" s="18">
        <f t="shared" si="100"/>
        <v>0.2000000000007276</v>
      </c>
      <c r="BD94" s="250"/>
      <c r="BE94" s="184">
        <f>BE93-BE92</f>
        <v>-3692.9279999993742</v>
      </c>
      <c r="BF94" s="6">
        <f t="shared" si="100"/>
        <v>-26912.514000000003</v>
      </c>
      <c r="BG94" s="184">
        <f t="shared" si="100"/>
        <v>-0.7959999999984575</v>
      </c>
      <c r="BH94" s="6">
        <f t="shared" si="100"/>
        <v>-33675.589999999997</v>
      </c>
      <c r="BI94" s="6">
        <f t="shared" si="100"/>
        <v>-41640</v>
      </c>
      <c r="BJ94" s="6">
        <f t="shared" si="100"/>
        <v>-5.1816216216216215</v>
      </c>
      <c r="BK94" s="6">
        <f t="shared" si="100"/>
        <v>-29564.399999999998</v>
      </c>
      <c r="BL94" s="6">
        <f t="shared" si="100"/>
        <v>-29980.799999999999</v>
      </c>
      <c r="BM94" s="6">
        <f t="shared" si="100"/>
        <v>-20399.435999999998</v>
      </c>
      <c r="BN94" s="6">
        <f t="shared" si="100"/>
        <v>-34561.199999999997</v>
      </c>
      <c r="BO94" s="6">
        <f t="shared" si="100"/>
        <v>-180</v>
      </c>
      <c r="BP94" s="6">
        <f t="shared" si="100"/>
        <v>-70</v>
      </c>
      <c r="BQ94" s="6">
        <f t="shared" si="100"/>
        <v>-30</v>
      </c>
      <c r="BR94" s="6">
        <f t="shared" si="100"/>
        <v>-975</v>
      </c>
      <c r="BS94" s="6">
        <f t="shared" si="100"/>
        <v>-2369.4</v>
      </c>
      <c r="BT94" s="6">
        <f t="shared" si="100"/>
        <v>-2088.5</v>
      </c>
      <c r="BU94" s="6">
        <f t="shared" si="100"/>
        <v>-1150</v>
      </c>
      <c r="BV94" s="6">
        <f t="shared" si="100"/>
        <v>-1200</v>
      </c>
      <c r="BW94" s="6">
        <f t="shared" si="100"/>
        <v>-1900</v>
      </c>
      <c r="BX94" s="18">
        <f t="shared" si="100"/>
        <v>-0.40000000000009095</v>
      </c>
      <c r="BY94" s="250"/>
      <c r="BZ94" s="184">
        <f>BZ93-BZ92</f>
        <v>-185.03199999994831</v>
      </c>
      <c r="CA94" s="6">
        <f t="shared" ref="CA94:DO94" si="101">CA93-CA92</f>
        <v>-1284.336</v>
      </c>
      <c r="CB94" s="6">
        <f t="shared" si="101"/>
        <v>-0.27599999999983993</v>
      </c>
      <c r="CC94" s="6">
        <f t="shared" si="101"/>
        <v>-1577</v>
      </c>
      <c r="CD94" s="6">
        <f t="shared" si="101"/>
        <v>-3200</v>
      </c>
      <c r="CE94" s="6">
        <f t="shared" si="101"/>
        <v>-2112</v>
      </c>
      <c r="CF94" s="6">
        <f t="shared" si="101"/>
        <v>-2304</v>
      </c>
      <c r="CG94" s="6">
        <f t="shared" si="101"/>
        <v>-1442.7072000000003</v>
      </c>
      <c r="CH94" s="6">
        <f t="shared" si="101"/>
        <v>-2655.9999999999991</v>
      </c>
      <c r="CI94" s="18"/>
      <c r="CJ94" s="247"/>
      <c r="CK94" s="18"/>
      <c r="CL94" s="18"/>
      <c r="CM94" s="18"/>
      <c r="CN94" s="18">
        <f t="shared" si="101"/>
        <v>0</v>
      </c>
      <c r="CO94" s="18">
        <f t="shared" si="101"/>
        <v>0</v>
      </c>
      <c r="CP94" s="247"/>
      <c r="CQ94" s="18">
        <f t="shared" si="101"/>
        <v>0</v>
      </c>
      <c r="CR94" s="18">
        <f t="shared" si="101"/>
        <v>0</v>
      </c>
      <c r="CS94" s="247"/>
      <c r="CT94" s="18">
        <f t="shared" si="101"/>
        <v>0</v>
      </c>
      <c r="CU94" s="18">
        <f t="shared" si="101"/>
        <v>0</v>
      </c>
      <c r="CV94" s="247"/>
      <c r="CW94" s="18">
        <f t="shared" si="101"/>
        <v>0</v>
      </c>
      <c r="CX94" s="18">
        <f t="shared" si="101"/>
        <v>0</v>
      </c>
      <c r="CY94" s="247"/>
      <c r="CZ94" s="18">
        <f t="shared" si="101"/>
        <v>0</v>
      </c>
      <c r="DA94" s="18">
        <f t="shared" si="101"/>
        <v>0</v>
      </c>
      <c r="DB94" s="247"/>
      <c r="DC94" s="18">
        <f t="shared" si="101"/>
        <v>0</v>
      </c>
      <c r="DD94" s="18">
        <f t="shared" si="101"/>
        <v>0</v>
      </c>
      <c r="DE94" s="18"/>
      <c r="DF94" s="18">
        <f t="shared" si="101"/>
        <v>0</v>
      </c>
      <c r="DG94" s="18">
        <f t="shared" si="101"/>
        <v>0</v>
      </c>
      <c r="DH94" s="18"/>
      <c r="DI94" s="18">
        <f t="shared" si="101"/>
        <v>0</v>
      </c>
      <c r="DJ94" s="18">
        <f t="shared" si="101"/>
        <v>0</v>
      </c>
      <c r="DK94" s="6"/>
      <c r="DL94" s="6">
        <f t="shared" si="101"/>
        <v>0</v>
      </c>
      <c r="DM94" s="6">
        <f t="shared" si="101"/>
        <v>0</v>
      </c>
      <c r="DN94" s="6"/>
      <c r="DO94" s="6">
        <f t="shared" si="101"/>
        <v>0</v>
      </c>
    </row>
    <row r="95" spans="1:120" x14ac:dyDescent="0.25">
      <c r="A95" s="147" t="s">
        <v>111</v>
      </c>
      <c r="B95" s="20">
        <v>237241</v>
      </c>
      <c r="C95" s="125"/>
      <c r="D95" s="20"/>
      <c r="E95" s="21"/>
      <c r="F95" s="22"/>
      <c r="G95" s="23">
        <f>SUM(G4:G90)</f>
        <v>147697.39849773014</v>
      </c>
      <c r="H95" s="23"/>
      <c r="I95" s="23">
        <f>SUM(I4:I90)</f>
        <v>169905</v>
      </c>
      <c r="J95" s="23"/>
      <c r="K95" s="23">
        <f>SUM(K4:K90)</f>
        <v>276761.72640000004</v>
      </c>
      <c r="L95" s="239"/>
      <c r="M95" s="23"/>
      <c r="N95" s="23">
        <f>SUM(N4:N90)</f>
        <v>135924</v>
      </c>
      <c r="O95" s="23">
        <f>SUM(O4:O90)</f>
        <v>160522.60131199998</v>
      </c>
      <c r="P95" s="24">
        <f>SUM(P4:P90)</f>
        <v>124030.65</v>
      </c>
      <c r="Q95" s="23">
        <f>SUM(Q4:Q90)</f>
        <v>194188</v>
      </c>
      <c r="R95" s="23"/>
      <c r="S95" s="23">
        <f>SUM(S4:S90)</f>
        <v>147582.88</v>
      </c>
      <c r="T95" s="23">
        <f>SUM(T4:T90)</f>
        <v>155350.40000000002</v>
      </c>
      <c r="U95" s="23">
        <f>SUM(U4:U90)</f>
        <v>85598.070399999997</v>
      </c>
      <c r="V95" s="24">
        <f>SUM(V4:V90)</f>
        <v>141757.24</v>
      </c>
      <c r="W95" s="125"/>
      <c r="X95" s="261"/>
      <c r="Y95" s="125"/>
      <c r="Z95" s="25">
        <v>36585</v>
      </c>
      <c r="AA95" s="25"/>
      <c r="AB95" s="25"/>
      <c r="AC95" s="26"/>
      <c r="AD95" s="27"/>
      <c r="AE95" s="28">
        <f>SUM(AE4:AE90)</f>
        <v>30046.7</v>
      </c>
      <c r="AF95" s="28"/>
      <c r="AG95" s="28">
        <f>SUM(AG4:AG90)</f>
        <v>34595.699999999997</v>
      </c>
      <c r="AH95" s="28"/>
      <c r="AI95" s="28">
        <f>SUM(AI4:AI90)</f>
        <v>54299.3</v>
      </c>
      <c r="AJ95" s="250"/>
      <c r="AK95" s="28"/>
      <c r="AL95" s="28">
        <f>SUM(AL4:AL90)</f>
        <v>29606.3685</v>
      </c>
      <c r="AM95" s="28">
        <f>SUM(AM4:AM90)</f>
        <v>35837.208000000006</v>
      </c>
      <c r="AN95" s="55">
        <f>SUM(AN4:AN90)</f>
        <v>29406.345000000001</v>
      </c>
      <c r="AO95" s="28">
        <f>SUM(AO4:AO90)</f>
        <v>38341.699999999997</v>
      </c>
      <c r="AP95" s="26"/>
      <c r="AQ95" s="28">
        <f>SUM(AQ4:AQ90)</f>
        <v>28756.275000000001</v>
      </c>
      <c r="AR95" s="28">
        <f>SUM(AR4:AR90)</f>
        <v>31056.776999999998</v>
      </c>
      <c r="AS95" s="28">
        <f>SUM(AS4:AS90)</f>
        <v>19554.267</v>
      </c>
      <c r="AT95" s="55">
        <f>SUM(AT4:AT90)</f>
        <v>33740.695999999996</v>
      </c>
      <c r="AU95" s="29">
        <v>38743</v>
      </c>
      <c r="AV95" s="29"/>
      <c r="AW95" s="30"/>
      <c r="AX95" s="30"/>
      <c r="AY95" s="31">
        <f>SUM(AY4:AY90)</f>
        <v>39744</v>
      </c>
      <c r="AZ95" s="32">
        <f>AY95/AV91</f>
        <v>0.27409655172413794</v>
      </c>
      <c r="BA95" s="31">
        <f>SUM(BA4:BA90)</f>
        <v>41823</v>
      </c>
      <c r="BB95" s="33"/>
      <c r="BC95" s="31">
        <f>SUM(BC4:BC90)</f>
        <v>59609.4</v>
      </c>
      <c r="BD95" s="264"/>
      <c r="BE95" s="31"/>
      <c r="BF95" s="31">
        <f>SUM(BF4:BF90)</f>
        <v>32412.606</v>
      </c>
      <c r="BG95" s="31"/>
      <c r="BH95" s="51"/>
      <c r="BI95" s="31">
        <f>SUM(BI4:BI90)</f>
        <v>42921</v>
      </c>
      <c r="BJ95" s="30"/>
      <c r="BK95" s="31">
        <f>SUM(BK4:BK90)</f>
        <v>30473.909999999996</v>
      </c>
      <c r="BL95" s="31">
        <f>SUM(BL4:BL90)</f>
        <v>30903.119999999999</v>
      </c>
      <c r="BM95" s="31"/>
      <c r="BN95" s="41"/>
      <c r="BO95" s="34"/>
      <c r="BP95" s="34"/>
      <c r="BQ95" s="34"/>
      <c r="BR95" s="34"/>
      <c r="BS95" s="34"/>
      <c r="BT95" s="34"/>
      <c r="BU95" s="35">
        <f>SUM(BU4:BU90)</f>
        <v>1170</v>
      </c>
      <c r="BV95" s="35">
        <f>SUM(BV4:BV90)</f>
        <v>1200</v>
      </c>
      <c r="BW95" s="35">
        <f>SUM(BW4:BW90)</f>
        <v>1900</v>
      </c>
      <c r="BX95" s="35">
        <f>SUM(BX4:BX90)</f>
        <v>2487.8000000000002</v>
      </c>
      <c r="BY95" s="269"/>
      <c r="BZ95" s="35"/>
      <c r="CA95" s="35">
        <f>SUM(CA4:CA90)</f>
        <v>1443.7259999999999</v>
      </c>
      <c r="CB95" s="35"/>
      <c r="CC95" s="56"/>
      <c r="CD95" s="35">
        <f>SUM(CD4:CD90)</f>
        <v>3200</v>
      </c>
      <c r="CE95" s="35"/>
      <c r="CF95" s="35"/>
      <c r="CG95" s="35"/>
      <c r="CH95" s="56"/>
    </row>
    <row r="96" spans="1:120" x14ac:dyDescent="0.25">
      <c r="A96" s="149" t="s">
        <v>112</v>
      </c>
      <c r="B96" s="36"/>
      <c r="C96" s="126"/>
      <c r="D96" s="36"/>
      <c r="E96" s="37"/>
      <c r="F96" s="37"/>
      <c r="G96" s="38">
        <f>190795-G97</f>
        <v>159001</v>
      </c>
      <c r="H96" s="39">
        <f>G96/D91</f>
        <v>0.45834822715479967</v>
      </c>
      <c r="I96" s="40">
        <v>125187</v>
      </c>
      <c r="J96" s="39">
        <f>I96/D91</f>
        <v>0.36087345056212167</v>
      </c>
      <c r="K96" s="39"/>
      <c r="L96" s="250"/>
      <c r="M96" s="39"/>
      <c r="N96" s="39"/>
      <c r="O96" s="39"/>
      <c r="P96" s="41"/>
      <c r="Q96" s="42">
        <v>57960</v>
      </c>
      <c r="R96" s="39">
        <f>Q96/D91</f>
        <v>0.16707985010089363</v>
      </c>
      <c r="S96" s="40"/>
      <c r="T96" s="39"/>
      <c r="U96" s="39"/>
      <c r="V96" s="41"/>
      <c r="W96" s="39"/>
      <c r="X96" s="251"/>
      <c r="Y96" s="43"/>
      <c r="Z96" s="36"/>
      <c r="AA96" s="36"/>
      <c r="AB96" s="36"/>
      <c r="AC96" s="39"/>
      <c r="AD96" s="39"/>
      <c r="AE96" s="37">
        <f>36846-AE97</f>
        <v>30558</v>
      </c>
      <c r="AF96" s="39">
        <f>AE96/AB91</f>
        <v>0.50509090909090915</v>
      </c>
      <c r="AG96" s="37">
        <v>24717</v>
      </c>
      <c r="AH96" s="39">
        <f>AG96/AB91</f>
        <v>0.40854545454545454</v>
      </c>
      <c r="AI96" s="39"/>
      <c r="AJ96" s="250"/>
      <c r="AK96" s="39"/>
      <c r="AL96" s="39"/>
      <c r="AM96" s="39"/>
      <c r="AN96" s="41"/>
      <c r="AO96" s="44">
        <v>12235</v>
      </c>
      <c r="AP96" s="39">
        <f>AO96/AB91</f>
        <v>0.2022314049586777</v>
      </c>
      <c r="AQ96" s="37"/>
      <c r="AR96" s="39"/>
      <c r="AS96" s="39"/>
      <c r="AT96" s="41"/>
      <c r="AU96" s="45"/>
      <c r="AV96" s="45"/>
      <c r="AW96" s="39"/>
      <c r="AX96" s="39"/>
      <c r="AY96" s="37">
        <f>43057-AY97</f>
        <v>35088</v>
      </c>
      <c r="AZ96" s="39">
        <f>AY96/AV91</f>
        <v>0.24198620689655173</v>
      </c>
      <c r="BA96" s="37">
        <v>24326</v>
      </c>
      <c r="BB96" s="39">
        <f>BA96/AV91</f>
        <v>0.16776551724137931</v>
      </c>
      <c r="BC96" s="39"/>
      <c r="BD96" s="251"/>
      <c r="BE96" s="39"/>
      <c r="BF96" s="39"/>
      <c r="BG96" s="39"/>
      <c r="BH96" s="41"/>
      <c r="BI96" s="44">
        <v>10673</v>
      </c>
      <c r="BJ96" s="39">
        <f>BI96/AV91</f>
        <v>7.3606896551724144E-2</v>
      </c>
      <c r="BK96" s="37"/>
      <c r="BL96" s="39"/>
      <c r="BM96" s="37"/>
      <c r="BN96" s="57"/>
      <c r="BO96" s="39"/>
      <c r="BP96" s="39"/>
      <c r="BQ96" s="39"/>
      <c r="BR96" s="39"/>
      <c r="BS96" s="39"/>
      <c r="BT96" s="39"/>
      <c r="BU96" s="37">
        <v>1200</v>
      </c>
      <c r="BV96" s="37"/>
      <c r="BW96" s="37">
        <v>1900</v>
      </c>
      <c r="BX96" s="37"/>
      <c r="BY96" s="262"/>
      <c r="BZ96" s="37"/>
      <c r="CA96" s="37"/>
      <c r="CB96" s="37"/>
      <c r="CC96" s="57"/>
      <c r="CD96" s="37">
        <v>3200</v>
      </c>
      <c r="CE96" s="37"/>
      <c r="CF96" s="37"/>
      <c r="CG96" s="37"/>
      <c r="CH96" s="57"/>
    </row>
    <row r="97" spans="1:136" x14ac:dyDescent="0.25">
      <c r="A97" s="149" t="s">
        <v>113</v>
      </c>
      <c r="B97" s="36"/>
      <c r="C97" s="126"/>
      <c r="D97" s="36"/>
      <c r="E97" s="37"/>
      <c r="F97" s="37"/>
      <c r="G97" s="38">
        <v>31794</v>
      </c>
      <c r="H97" s="39">
        <f>G97/D91</f>
        <v>9.1651772845200347E-2</v>
      </c>
      <c r="I97" s="40">
        <v>93360</v>
      </c>
      <c r="J97" s="39">
        <f>I97/D91</f>
        <v>0.26912654943787834</v>
      </c>
      <c r="K97" s="39"/>
      <c r="L97" s="250"/>
      <c r="M97" s="39"/>
      <c r="N97" s="39"/>
      <c r="O97" s="39"/>
      <c r="P97" s="41"/>
      <c r="Q97" s="42">
        <v>184870</v>
      </c>
      <c r="R97" s="39">
        <f>Q97/D91</f>
        <v>0.53292014989910641</v>
      </c>
      <c r="S97" s="40"/>
      <c r="T97" s="39"/>
      <c r="U97" s="39"/>
      <c r="V97" s="41"/>
      <c r="W97" s="39"/>
      <c r="X97" s="251"/>
      <c r="Y97" s="43"/>
      <c r="Z97" s="36"/>
      <c r="AA97" s="36"/>
      <c r="AB97" s="36"/>
      <c r="AC97" s="39"/>
      <c r="AD97" s="39"/>
      <c r="AE97" s="37">
        <v>6288</v>
      </c>
      <c r="AF97" s="39">
        <f>AE97/AB91</f>
        <v>0.10393388429752067</v>
      </c>
      <c r="AG97" s="37">
        <v>18538</v>
      </c>
      <c r="AH97" s="39">
        <f>AG97/AB91</f>
        <v>0.30641322314049585</v>
      </c>
      <c r="AI97" s="39"/>
      <c r="AJ97" s="250"/>
      <c r="AK97" s="39"/>
      <c r="AL97" s="39"/>
      <c r="AM97" s="39"/>
      <c r="AN97" s="41"/>
      <c r="AO97" s="44">
        <v>36626</v>
      </c>
      <c r="AP97" s="39">
        <f>AO97/AB91</f>
        <v>0.60538842975206608</v>
      </c>
      <c r="AQ97" s="37"/>
      <c r="AR97" s="39"/>
      <c r="AS97" s="39"/>
      <c r="AT97" s="41"/>
      <c r="AU97" s="45"/>
      <c r="AV97" s="45"/>
      <c r="AW97" s="39"/>
      <c r="AX97" s="39"/>
      <c r="AY97" s="37">
        <v>7969</v>
      </c>
      <c r="AZ97" s="39">
        <f>AY97/AV91</f>
        <v>5.4958620689655173E-2</v>
      </c>
      <c r="BA97" s="37">
        <v>21350</v>
      </c>
      <c r="BB97" s="39">
        <f>BA97/AV91</f>
        <v>0.14724137931034484</v>
      </c>
      <c r="BC97" s="39"/>
      <c r="BD97" s="251"/>
      <c r="BE97" s="39"/>
      <c r="BF97" s="39"/>
      <c r="BG97" s="39"/>
      <c r="BH97" s="41"/>
      <c r="BI97" s="44">
        <v>36641</v>
      </c>
      <c r="BJ97" s="39">
        <f>BI97/AV91</f>
        <v>0.25269655172413791</v>
      </c>
      <c r="BK97" s="37"/>
      <c r="BL97" s="39"/>
      <c r="BM97" s="37"/>
      <c r="BN97" s="57"/>
      <c r="BO97" s="39"/>
      <c r="BP97" s="39"/>
      <c r="BQ97" s="39"/>
      <c r="BR97" s="39"/>
      <c r="BS97" s="39"/>
      <c r="BT97" s="39"/>
      <c r="BU97" s="37"/>
      <c r="BV97" s="37"/>
      <c r="BW97" s="37"/>
      <c r="BX97" s="37"/>
      <c r="BY97" s="262"/>
      <c r="BZ97" s="37"/>
      <c r="CA97" s="37"/>
      <c r="CB97" s="37"/>
      <c r="CC97" s="57"/>
      <c r="CD97" s="37"/>
      <c r="CE97" s="37"/>
      <c r="CF97" s="37"/>
      <c r="CG97" s="37"/>
      <c r="CH97" s="57"/>
    </row>
    <row r="98" spans="1:136" x14ac:dyDescent="0.25">
      <c r="A98" s="149" t="s">
        <v>86</v>
      </c>
      <c r="B98" s="36"/>
      <c r="C98" s="126"/>
      <c r="D98" s="36"/>
      <c r="E98" s="36"/>
      <c r="F98" s="36"/>
      <c r="G98" s="45">
        <f>SUM(G96:G97)</f>
        <v>190795</v>
      </c>
      <c r="H98" s="45"/>
      <c r="I98" s="45">
        <f t="shared" ref="I98:N98" si="102">SUM(I96:I97)</f>
        <v>218547</v>
      </c>
      <c r="J98" s="45"/>
      <c r="K98" s="45">
        <f t="shared" si="102"/>
        <v>0</v>
      </c>
      <c r="L98" s="236"/>
      <c r="M98" s="45"/>
      <c r="N98" s="45">
        <f t="shared" si="102"/>
        <v>0</v>
      </c>
      <c r="O98" s="45"/>
      <c r="P98" s="58"/>
      <c r="Q98" s="45">
        <f>SUM(Q96:Q97)</f>
        <v>242830</v>
      </c>
      <c r="R98" s="45"/>
      <c r="S98" s="45"/>
      <c r="T98" s="45"/>
      <c r="U98" s="45"/>
      <c r="V98" s="58"/>
      <c r="W98" s="150"/>
      <c r="X98" s="262"/>
      <c r="Y98" s="150"/>
      <c r="Z98" s="36"/>
      <c r="AA98" s="36"/>
      <c r="AB98" s="36"/>
      <c r="AC98" s="59"/>
      <c r="AD98" s="59"/>
      <c r="AE98" s="60">
        <f>SUM(AE96:AE97)</f>
        <v>36846</v>
      </c>
      <c r="AF98" s="60"/>
      <c r="AG98" s="60">
        <f t="shared" ref="AG98:AO98" si="103">SUM(AG96:AG97)</f>
        <v>43255</v>
      </c>
      <c r="AH98" s="60"/>
      <c r="AI98" s="60"/>
      <c r="AJ98" s="241"/>
      <c r="AK98" s="60"/>
      <c r="AL98" s="60"/>
      <c r="AM98" s="60"/>
      <c r="AN98" s="48"/>
      <c r="AO98" s="60">
        <f t="shared" si="103"/>
        <v>48861</v>
      </c>
      <c r="AP98" s="60"/>
      <c r="AQ98" s="45"/>
      <c r="AR98" s="45"/>
      <c r="AS98" s="45"/>
      <c r="AT98" s="58"/>
      <c r="AU98" s="45"/>
      <c r="AV98" s="45"/>
      <c r="AW98" s="59"/>
      <c r="AX98" s="59"/>
      <c r="AY98" s="60">
        <f>SUM(AY96:AY97)</f>
        <v>43057</v>
      </c>
      <c r="AZ98" s="59">
        <f>AY98/AV91</f>
        <v>0.29694482758620688</v>
      </c>
      <c r="BA98" s="60">
        <f t="shared" ref="BA98:BI98" si="104">SUM(BA96:BA97)</f>
        <v>45676</v>
      </c>
      <c r="BB98" s="61"/>
      <c r="BC98" s="61"/>
      <c r="BD98" s="265"/>
      <c r="BE98" s="61"/>
      <c r="BF98" s="61"/>
      <c r="BG98" s="61"/>
      <c r="BH98" s="62"/>
      <c r="BI98" s="60">
        <f t="shared" si="104"/>
        <v>47314</v>
      </c>
      <c r="BJ98" s="59"/>
      <c r="BK98" s="59"/>
      <c r="BL98" s="61"/>
      <c r="BM98" s="151"/>
      <c r="BN98" s="152"/>
      <c r="BO98" s="59"/>
      <c r="BP98" s="59"/>
      <c r="BQ98" s="59"/>
      <c r="BR98" s="59"/>
      <c r="BS98" s="59"/>
      <c r="BT98" s="59"/>
      <c r="BU98" s="151">
        <f>SUM(BU96:BU97)</f>
        <v>1200</v>
      </c>
      <c r="BV98" s="151"/>
      <c r="BW98" s="151">
        <f t="shared" ref="BW98:CD98" si="105">SUM(BW96:BW97)</f>
        <v>1900</v>
      </c>
      <c r="BX98" s="151"/>
      <c r="BY98" s="270"/>
      <c r="BZ98" s="151"/>
      <c r="CA98" s="151"/>
      <c r="CB98" s="151"/>
      <c r="CC98" s="152"/>
      <c r="CD98" s="151">
        <f t="shared" si="105"/>
        <v>3200</v>
      </c>
      <c r="CE98" s="151"/>
      <c r="CF98" s="151"/>
      <c r="CG98" s="151"/>
      <c r="CH98" s="152"/>
    </row>
    <row r="99" spans="1:136" s="154" customFormat="1" ht="25.5" x14ac:dyDescent="0.25">
      <c r="A99" s="153"/>
      <c r="C99" s="127" t="s">
        <v>153</v>
      </c>
      <c r="G99" s="154">
        <f>G98-G95</f>
        <v>43097.601502269856</v>
      </c>
      <c r="H99" s="154">
        <f>G98-G95</f>
        <v>43097.601502269856</v>
      </c>
      <c r="I99" s="154">
        <f>I98-I95</f>
        <v>48642</v>
      </c>
      <c r="J99" s="154" t="s">
        <v>114</v>
      </c>
      <c r="K99" s="154">
        <f t="shared" ref="K99:BV99" si="106">K4+K6+K8+K19+K25+K28+K29+K34+K36+K41+K44+K46+K49+K54+K59+K60+K62+K63+K65+K69+K71+K73+K79+K83+K85</f>
        <v>142767.80000000002</v>
      </c>
      <c r="L99" s="272">
        <f t="shared" si="106"/>
        <v>7488.5</v>
      </c>
      <c r="M99" s="154">
        <f t="shared" si="106"/>
        <v>42764666.812000006</v>
      </c>
      <c r="N99" s="154">
        <f t="shared" si="106"/>
        <v>135924</v>
      </c>
      <c r="O99" s="154">
        <f t="shared" si="106"/>
        <v>82805.123999999996</v>
      </c>
      <c r="P99" s="154">
        <f t="shared" si="106"/>
        <v>124030.65</v>
      </c>
      <c r="Q99" s="154">
        <f t="shared" si="106"/>
        <v>194188</v>
      </c>
      <c r="R99" s="154">
        <f t="shared" si="106"/>
        <v>16.160450391644908</v>
      </c>
      <c r="S99" s="154">
        <f t="shared" si="106"/>
        <v>147582.88</v>
      </c>
      <c r="T99" s="154">
        <f t="shared" si="106"/>
        <v>155350.40000000002</v>
      </c>
      <c r="U99" s="154">
        <f t="shared" si="106"/>
        <v>85598.070399999997</v>
      </c>
      <c r="V99" s="154">
        <f t="shared" si="106"/>
        <v>141757.24</v>
      </c>
      <c r="W99" s="154">
        <f t="shared" si="106"/>
        <v>9993.746000000001</v>
      </c>
      <c r="X99" s="252">
        <f t="shared" si="106"/>
        <v>350</v>
      </c>
      <c r="Y99" s="154">
        <f t="shared" si="106"/>
        <v>139912.44400000002</v>
      </c>
      <c r="Z99" s="154">
        <f t="shared" si="106"/>
        <v>31143</v>
      </c>
      <c r="AA99" s="154">
        <f t="shared" si="106"/>
        <v>0</v>
      </c>
      <c r="AB99" s="154">
        <f t="shared" si="106"/>
        <v>60500</v>
      </c>
      <c r="AC99" s="154">
        <f t="shared" si="106"/>
        <v>11.680516611520906</v>
      </c>
      <c r="AD99" s="154">
        <f t="shared" si="106"/>
        <v>86</v>
      </c>
      <c r="AE99" s="154">
        <f t="shared" si="106"/>
        <v>30046.7</v>
      </c>
      <c r="AF99" s="154">
        <f t="shared" si="106"/>
        <v>10.633515385630091</v>
      </c>
      <c r="AG99" s="154">
        <f t="shared" si="106"/>
        <v>34595.699999999997</v>
      </c>
      <c r="AH99" s="154">
        <f t="shared" si="106"/>
        <v>12.395225481707833</v>
      </c>
      <c r="AI99" s="154">
        <f t="shared" si="106"/>
        <v>27980.775000000001</v>
      </c>
      <c r="AJ99" s="272">
        <f t="shared" si="106"/>
        <v>7478.5000000000027</v>
      </c>
      <c r="AK99" s="154">
        <f t="shared" si="106"/>
        <v>8370169.0334999999</v>
      </c>
      <c r="AL99" s="154">
        <f t="shared" si="106"/>
        <v>28022.517</v>
      </c>
      <c r="AM99" s="154">
        <f t="shared" si="106"/>
        <v>18467.311500000003</v>
      </c>
      <c r="AN99" s="154">
        <f t="shared" si="106"/>
        <v>29406.345000000001</v>
      </c>
      <c r="AO99" s="154">
        <f t="shared" si="106"/>
        <v>38341.699999999997</v>
      </c>
      <c r="AP99" s="154">
        <f t="shared" si="106"/>
        <v>14.204249999999998</v>
      </c>
      <c r="AQ99" s="154">
        <f t="shared" si="106"/>
        <v>28756.275000000001</v>
      </c>
      <c r="AR99" s="154">
        <f t="shared" si="106"/>
        <v>31056.776999999998</v>
      </c>
      <c r="AS99" s="154">
        <f t="shared" si="106"/>
        <v>19554.267</v>
      </c>
      <c r="AT99" s="154">
        <f t="shared" si="106"/>
        <v>33740.695999999996</v>
      </c>
      <c r="AU99" s="154">
        <f t="shared" si="106"/>
        <v>36053</v>
      </c>
      <c r="AV99" s="154">
        <f t="shared" si="106"/>
        <v>145000</v>
      </c>
      <c r="AW99" s="154">
        <f t="shared" si="106"/>
        <v>4.8212798375436599</v>
      </c>
      <c r="AX99" s="154">
        <f t="shared" si="106"/>
        <v>86</v>
      </c>
      <c r="AY99" s="154">
        <f t="shared" si="106"/>
        <v>39744</v>
      </c>
      <c r="AZ99" s="154">
        <f t="shared" si="106"/>
        <v>5.2254838709677411</v>
      </c>
      <c r="BA99" s="154">
        <f t="shared" si="106"/>
        <v>41823</v>
      </c>
      <c r="BB99" s="154">
        <f t="shared" si="106"/>
        <v>5.485925925925927</v>
      </c>
      <c r="BC99" s="154">
        <f t="shared" si="106"/>
        <v>30242.1</v>
      </c>
      <c r="BD99" s="252">
        <f t="shared" si="106"/>
        <v>6806.5000000000036</v>
      </c>
      <c r="BE99" s="154">
        <f t="shared" si="106"/>
        <v>8233714.1459999979</v>
      </c>
      <c r="BF99" s="154">
        <f t="shared" si="106"/>
        <v>30112.560000000001</v>
      </c>
      <c r="BG99" s="154">
        <f t="shared" si="106"/>
        <v>20867.048999999995</v>
      </c>
      <c r="BH99" s="154">
        <f t="shared" si="106"/>
        <v>34713.089999999997</v>
      </c>
      <c r="BI99" s="154">
        <f t="shared" si="106"/>
        <v>42921</v>
      </c>
      <c r="BJ99" s="154">
        <f t="shared" si="106"/>
        <v>5.6175475475475478</v>
      </c>
      <c r="BK99" s="154">
        <f t="shared" si="106"/>
        <v>30473.909999999996</v>
      </c>
      <c r="BL99" s="154">
        <f t="shared" si="106"/>
        <v>30903.119999999999</v>
      </c>
      <c r="BM99" s="154">
        <f t="shared" si="106"/>
        <v>21026.997899999998</v>
      </c>
      <c r="BN99" s="154">
        <f t="shared" si="106"/>
        <v>35624.43</v>
      </c>
      <c r="BO99" s="154">
        <f t="shared" si="106"/>
        <v>180</v>
      </c>
      <c r="BP99" s="154">
        <f t="shared" si="106"/>
        <v>70</v>
      </c>
      <c r="BQ99" s="154">
        <f t="shared" si="106"/>
        <v>30</v>
      </c>
      <c r="BR99" s="154">
        <f t="shared" si="106"/>
        <v>975</v>
      </c>
      <c r="BS99" s="154">
        <f t="shared" si="106"/>
        <v>2430.5</v>
      </c>
      <c r="BT99" s="154">
        <f t="shared" si="106"/>
        <v>2120.5</v>
      </c>
      <c r="BU99" s="154">
        <f t="shared" si="106"/>
        <v>1170</v>
      </c>
      <c r="BV99" s="154">
        <f t="shared" si="106"/>
        <v>1200</v>
      </c>
      <c r="BW99" s="154">
        <f t="shared" ref="BW99:DO99" si="107">BW4+BW6+BW8+BW19+BW25+BW28+BW29+BW34+BW36+BW41+BW44+BW46+BW49+BW54+BW59+BW60+BW62+BW63+BW65+BW69+BW71+BW73+BW79+BW83+BW85</f>
        <v>1900</v>
      </c>
      <c r="BX99" s="154">
        <f t="shared" si="107"/>
        <v>1244.1000000000001</v>
      </c>
      <c r="BY99" s="252">
        <f t="shared" si="107"/>
        <v>5395.04</v>
      </c>
      <c r="BZ99" s="154">
        <f t="shared" si="107"/>
        <v>479426.37599999999</v>
      </c>
      <c r="CA99" s="154">
        <f t="shared" si="107"/>
        <v>1364.0309999999999</v>
      </c>
      <c r="CB99" s="154">
        <f t="shared" si="107"/>
        <v>858.42899999999986</v>
      </c>
      <c r="CC99" s="154">
        <f t="shared" si="107"/>
        <v>1577</v>
      </c>
      <c r="CD99" s="154">
        <f t="shared" si="107"/>
        <v>3200</v>
      </c>
      <c r="CE99" s="154">
        <f t="shared" si="107"/>
        <v>2112</v>
      </c>
      <c r="CF99" s="154">
        <f t="shared" si="107"/>
        <v>2304</v>
      </c>
      <c r="CG99" s="154">
        <f t="shared" si="107"/>
        <v>1442.7072000000003</v>
      </c>
      <c r="CH99" s="154">
        <f t="shared" si="107"/>
        <v>2655.9999999999991</v>
      </c>
      <c r="CI99" s="154">
        <f t="shared" si="107"/>
        <v>1500</v>
      </c>
      <c r="CJ99" s="252">
        <f t="shared" si="107"/>
        <v>8106</v>
      </c>
      <c r="CK99" s="154">
        <f t="shared" si="107"/>
        <v>2026500</v>
      </c>
      <c r="CL99" s="154" t="e">
        <f t="shared" si="107"/>
        <v>#VALUE!</v>
      </c>
      <c r="CM99" s="154">
        <f t="shared" si="107"/>
        <v>34560</v>
      </c>
      <c r="CN99" s="154">
        <f t="shared" si="107"/>
        <v>4685524</v>
      </c>
      <c r="CO99" s="154">
        <f t="shared" si="107"/>
        <v>978</v>
      </c>
      <c r="CP99" s="252">
        <f t="shared" si="107"/>
        <v>56244.750000000015</v>
      </c>
      <c r="CQ99" s="154">
        <f t="shared" si="107"/>
        <v>2200294.62</v>
      </c>
      <c r="CR99" s="154">
        <f t="shared" si="107"/>
        <v>2490</v>
      </c>
      <c r="CS99" s="252">
        <f t="shared" si="107"/>
        <v>11137.750000000004</v>
      </c>
      <c r="CT99" s="154">
        <f t="shared" si="107"/>
        <v>1109319.8999999999</v>
      </c>
      <c r="CU99" s="154">
        <f t="shared" si="107"/>
        <v>222</v>
      </c>
      <c r="CV99" s="252">
        <f t="shared" si="107"/>
        <v>56244.750000000015</v>
      </c>
      <c r="CW99" s="148">
        <f t="shared" si="107"/>
        <v>499453.38</v>
      </c>
      <c r="CX99" s="154">
        <f t="shared" si="107"/>
        <v>47</v>
      </c>
      <c r="CY99" s="252">
        <f t="shared" si="107"/>
        <v>56244.750000000015</v>
      </c>
      <c r="CZ99" s="148">
        <f t="shared" si="107"/>
        <v>105740.13</v>
      </c>
      <c r="DA99" s="154">
        <f t="shared" si="107"/>
        <v>1220</v>
      </c>
      <c r="DB99" s="252">
        <f t="shared" si="107"/>
        <v>11606.500000000004</v>
      </c>
      <c r="DC99" s="154">
        <f t="shared" si="107"/>
        <v>566397.19999999995</v>
      </c>
      <c r="DD99" s="154">
        <f t="shared" si="107"/>
        <v>66</v>
      </c>
      <c r="DE99" s="154">
        <f t="shared" si="107"/>
        <v>56244.750000000015</v>
      </c>
      <c r="DF99" s="154">
        <f t="shared" si="107"/>
        <v>148486.14000000001</v>
      </c>
      <c r="DG99" s="154">
        <f t="shared" si="107"/>
        <v>12</v>
      </c>
      <c r="DH99" s="154">
        <f t="shared" si="107"/>
        <v>56244.750000000015</v>
      </c>
      <c r="DI99" s="154">
        <f t="shared" si="107"/>
        <v>26997.48</v>
      </c>
      <c r="DJ99" s="154">
        <f t="shared" si="107"/>
        <v>350</v>
      </c>
      <c r="DK99" s="154">
        <f t="shared" si="107"/>
        <v>12606.500000000004</v>
      </c>
      <c r="DL99" s="154">
        <f t="shared" si="107"/>
        <v>176491</v>
      </c>
      <c r="DM99" s="154">
        <f t="shared" si="107"/>
        <v>14</v>
      </c>
      <c r="DN99" s="154">
        <f t="shared" si="107"/>
        <v>56244.750000000015</v>
      </c>
      <c r="DO99" s="154">
        <f t="shared" si="107"/>
        <v>31497.06</v>
      </c>
    </row>
    <row r="100" spans="1:136" x14ac:dyDescent="0.25">
      <c r="A100" s="155" t="s">
        <v>115</v>
      </c>
      <c r="B100" s="63">
        <v>30027</v>
      </c>
      <c r="C100" s="128"/>
      <c r="D100" s="63">
        <v>31800</v>
      </c>
      <c r="E100" s="64">
        <f t="shared" ref="E100:E105" si="108">B100/D100</f>
        <v>0.9442452830188679</v>
      </c>
      <c r="F100" s="64"/>
      <c r="G100" s="65">
        <f>D100*70%</f>
        <v>22260</v>
      </c>
      <c r="H100" s="64">
        <f t="shared" ref="H100:H105" si="109">G100/D100</f>
        <v>0.7</v>
      </c>
      <c r="I100" s="65">
        <v>25000</v>
      </c>
      <c r="J100" s="64">
        <f t="shared" ref="J100:J105" si="110">I100/D100</f>
        <v>0.78616352201257866</v>
      </c>
      <c r="K100" s="64"/>
      <c r="L100" s="275"/>
      <c r="M100" s="64"/>
      <c r="N100" s="64"/>
      <c r="O100" s="64"/>
      <c r="P100" s="66"/>
      <c r="Q100" s="65">
        <f>I100</f>
        <v>25000</v>
      </c>
      <c r="R100" s="64">
        <f t="shared" ref="R100:R105" si="111">Q100/D100</f>
        <v>0.78616352201257866</v>
      </c>
      <c r="S100" s="64"/>
      <c r="T100" s="64"/>
      <c r="U100" s="64"/>
      <c r="V100" s="66"/>
      <c r="W100" s="64"/>
      <c r="X100" s="253"/>
      <c r="Y100" s="67"/>
      <c r="Z100" s="68">
        <v>1851</v>
      </c>
      <c r="AA100" s="68"/>
      <c r="AB100" s="68">
        <v>7000</v>
      </c>
      <c r="AC100" s="69">
        <f t="shared" ref="AC100" si="112">Z100/AB100</f>
        <v>0.2644285714285714</v>
      </c>
      <c r="AD100" s="69"/>
      <c r="AE100" s="70" t="e">
        <f>#REF!*30%</f>
        <v>#REF!</v>
      </c>
      <c r="AF100" s="69" t="e">
        <f t="shared" ref="AF100:AF105" si="113">AE100/AB100</f>
        <v>#REF!</v>
      </c>
      <c r="AG100" s="70" t="e">
        <f>#REF!*45%</f>
        <v>#REF!</v>
      </c>
      <c r="AH100" s="69" t="e">
        <f t="shared" ref="AH100:AH105" si="114">AG100/AB100</f>
        <v>#REF!</v>
      </c>
      <c r="AI100" s="69"/>
      <c r="AJ100" s="275"/>
      <c r="AK100" s="69"/>
      <c r="AL100" s="69"/>
      <c r="AM100" s="69"/>
      <c r="AN100" s="66"/>
      <c r="AO100" s="70" t="e">
        <f>#REF!*60%</f>
        <v>#REF!</v>
      </c>
      <c r="AP100" s="69" t="e">
        <f t="shared" ref="AP100:AP105" si="115">AO100/AB100</f>
        <v>#REF!</v>
      </c>
      <c r="AQ100" s="69"/>
      <c r="AR100" s="69"/>
      <c r="AS100" s="69"/>
      <c r="AT100" s="66"/>
      <c r="AU100" s="71">
        <v>1178</v>
      </c>
      <c r="AV100" s="71">
        <v>18000</v>
      </c>
      <c r="AW100" s="72">
        <f t="shared" ref="AW100" si="116">AU100/AV100</f>
        <v>6.5444444444444444E-2</v>
      </c>
      <c r="AX100" s="72"/>
      <c r="AY100" s="73">
        <f>AV100*10%</f>
        <v>1800</v>
      </c>
      <c r="AZ100" s="72">
        <f>AY100/AV100</f>
        <v>0.1</v>
      </c>
      <c r="BA100" s="73">
        <f>AV100*13%</f>
        <v>2340</v>
      </c>
      <c r="BB100" s="72">
        <f>BA100/AV100</f>
        <v>0.13</v>
      </c>
      <c r="BC100" s="72"/>
      <c r="BD100" s="266"/>
      <c r="BE100" s="72"/>
      <c r="BF100" s="72"/>
      <c r="BG100" s="72"/>
      <c r="BH100" s="66"/>
      <c r="BI100" s="73">
        <f>AV100*16%</f>
        <v>2880</v>
      </c>
      <c r="BJ100" s="72">
        <f>BI100/AV100</f>
        <v>0.16</v>
      </c>
      <c r="BK100" s="72"/>
      <c r="BL100" s="72"/>
      <c r="BM100" s="72"/>
      <c r="BN100" s="66"/>
      <c r="BO100" s="53"/>
      <c r="BP100" s="53"/>
      <c r="BQ100" s="53"/>
      <c r="BR100" s="53"/>
      <c r="BS100" s="53"/>
      <c r="BT100" s="53"/>
      <c r="BU100" s="156"/>
      <c r="BV100" s="156"/>
      <c r="BW100" s="156"/>
      <c r="BX100" s="156"/>
      <c r="BY100" s="271"/>
      <c r="BZ100" s="156"/>
      <c r="CA100" s="156"/>
      <c r="CB100" s="156"/>
      <c r="CC100" s="157"/>
      <c r="CD100" s="156"/>
      <c r="CE100" s="156"/>
      <c r="CF100" s="156"/>
      <c r="CG100" s="156"/>
      <c r="CH100" s="157"/>
    </row>
    <row r="101" spans="1:136" x14ac:dyDescent="0.25">
      <c r="A101" s="158" t="s">
        <v>116</v>
      </c>
      <c r="B101" s="21">
        <v>13382</v>
      </c>
      <c r="C101" s="129"/>
      <c r="D101" s="74">
        <f>D100-D102</f>
        <v>13038</v>
      </c>
      <c r="E101" s="75">
        <f t="shared" si="108"/>
        <v>1.0263844147875441</v>
      </c>
      <c r="F101" s="76"/>
      <c r="G101" s="77">
        <f>B101*G100/(B102+B101)</f>
        <v>9827.2406967537609</v>
      </c>
      <c r="H101" s="75">
        <f t="shared" si="109"/>
        <v>0.75373835686100332</v>
      </c>
      <c r="I101" s="77">
        <v>11054</v>
      </c>
      <c r="J101" s="75">
        <f t="shared" si="110"/>
        <v>0.84782942169044329</v>
      </c>
      <c r="K101" s="78" t="e">
        <f>SUM(#REF!)</f>
        <v>#REF!</v>
      </c>
      <c r="L101" s="276"/>
      <c r="M101" s="75"/>
      <c r="N101" s="75"/>
      <c r="O101" s="75"/>
      <c r="P101" s="79"/>
      <c r="Q101" s="77">
        <f>I101</f>
        <v>11054</v>
      </c>
      <c r="R101" s="75">
        <f t="shared" si="111"/>
        <v>0.84782942169044329</v>
      </c>
      <c r="S101" s="75"/>
      <c r="T101" s="75"/>
      <c r="U101" s="75"/>
      <c r="V101" s="79"/>
      <c r="W101" s="75"/>
      <c r="X101" s="254"/>
      <c r="Y101" s="80"/>
      <c r="Z101" s="27">
        <v>847</v>
      </c>
      <c r="AA101" s="27"/>
      <c r="AB101" s="81">
        <f>AB100-AB102</f>
        <v>2870</v>
      </c>
      <c r="AC101" s="82">
        <f>Z101/AB101</f>
        <v>0.29512195121951218</v>
      </c>
      <c r="AD101" s="26"/>
      <c r="AE101" s="28">
        <f>AB101*30%</f>
        <v>861</v>
      </c>
      <c r="AF101" s="82">
        <f t="shared" si="113"/>
        <v>0.3</v>
      </c>
      <c r="AG101" s="28">
        <f>AB101*45%</f>
        <v>1291.5</v>
      </c>
      <c r="AH101" s="82">
        <f t="shared" si="114"/>
        <v>0.45</v>
      </c>
      <c r="AI101" s="82"/>
      <c r="AJ101" s="276"/>
      <c r="AK101" s="82"/>
      <c r="AL101" s="82"/>
      <c r="AM101" s="82"/>
      <c r="AN101" s="79"/>
      <c r="AO101" s="28">
        <f>AB101*60%</f>
        <v>1722</v>
      </c>
      <c r="AP101" s="82">
        <f t="shared" si="115"/>
        <v>0.6</v>
      </c>
      <c r="AQ101" s="82"/>
      <c r="AR101" s="82"/>
      <c r="AS101" s="82"/>
      <c r="AT101" s="79"/>
      <c r="AU101" s="83">
        <v>334</v>
      </c>
      <c r="AV101" s="84">
        <f>AV100-AV102</f>
        <v>7380</v>
      </c>
      <c r="AW101" s="85">
        <f>AU101/AV101</f>
        <v>4.5257452574525743E-2</v>
      </c>
      <c r="AX101" s="30"/>
      <c r="AY101" s="86">
        <f>AV101*10%</f>
        <v>738</v>
      </c>
      <c r="AZ101" s="85">
        <f>AY101/AV101</f>
        <v>0.1</v>
      </c>
      <c r="BA101" s="87">
        <f>AV101*13%</f>
        <v>959.4</v>
      </c>
      <c r="BB101" s="85">
        <f>BA101/AV101</f>
        <v>0.13</v>
      </c>
      <c r="BC101" s="85"/>
      <c r="BD101" s="267"/>
      <c r="BE101" s="85"/>
      <c r="BF101" s="85"/>
      <c r="BG101" s="85"/>
      <c r="BH101" s="79"/>
      <c r="BI101" s="87">
        <f>AV101*16%</f>
        <v>1180.8</v>
      </c>
      <c r="BJ101" s="85">
        <f>BI101/AV101</f>
        <v>0.16</v>
      </c>
      <c r="BK101" s="85"/>
      <c r="BL101" s="85"/>
      <c r="BM101" s="85"/>
      <c r="BN101" s="79"/>
      <c r="BO101" s="4"/>
      <c r="BP101" s="4"/>
      <c r="BQ101" s="4"/>
      <c r="BR101" s="4"/>
      <c r="BS101" s="4"/>
      <c r="BT101" s="4"/>
      <c r="BU101" s="144"/>
      <c r="BV101" s="144"/>
      <c r="BW101" s="144"/>
      <c r="BX101" s="144"/>
      <c r="BY101" s="260"/>
      <c r="BZ101" s="144"/>
      <c r="CA101" s="144"/>
      <c r="CB101" s="144"/>
      <c r="CD101" s="144"/>
      <c r="CE101" s="144"/>
      <c r="CF101" s="144"/>
      <c r="CG101" s="144"/>
    </row>
    <row r="102" spans="1:136" x14ac:dyDescent="0.25">
      <c r="A102" s="158" t="s">
        <v>117</v>
      </c>
      <c r="B102" s="21">
        <v>16930</v>
      </c>
      <c r="C102" s="129"/>
      <c r="D102" s="74">
        <v>18762</v>
      </c>
      <c r="E102" s="75">
        <f t="shared" si="108"/>
        <v>0.9023558256049462</v>
      </c>
      <c r="F102" s="76"/>
      <c r="G102" s="77">
        <f>B102*G100/(B102+B101)</f>
        <v>12432.759303246239</v>
      </c>
      <c r="H102" s="75">
        <f t="shared" si="109"/>
        <v>0.66265639607964177</v>
      </c>
      <c r="I102" s="77">
        <f>I100-I101</f>
        <v>13946</v>
      </c>
      <c r="J102" s="75">
        <f t="shared" si="110"/>
        <v>0.74331094766016415</v>
      </c>
      <c r="K102" s="75"/>
      <c r="L102" s="276"/>
      <c r="M102" s="75"/>
      <c r="N102" s="75"/>
      <c r="O102" s="75"/>
      <c r="P102" s="79"/>
      <c r="Q102" s="77">
        <f>Q100-Q101</f>
        <v>13946</v>
      </c>
      <c r="R102" s="75">
        <f t="shared" si="111"/>
        <v>0.74331094766016415</v>
      </c>
      <c r="S102" s="75"/>
      <c r="T102" s="75"/>
      <c r="U102" s="75"/>
      <c r="V102" s="79"/>
      <c r="W102" s="75"/>
      <c r="X102" s="254"/>
      <c r="Y102" s="80"/>
      <c r="Z102" s="27">
        <v>1004</v>
      </c>
      <c r="AA102" s="27"/>
      <c r="AB102" s="81">
        <v>4130</v>
      </c>
      <c r="AC102" s="82">
        <f>Z102/AB102</f>
        <v>0.24309927360774819</v>
      </c>
      <c r="AD102" s="26"/>
      <c r="AE102" s="28" t="e">
        <f>AE100-AE101</f>
        <v>#REF!</v>
      </c>
      <c r="AF102" s="82" t="e">
        <f t="shared" si="113"/>
        <v>#REF!</v>
      </c>
      <c r="AG102" s="28" t="e">
        <f>AG100-AG101</f>
        <v>#REF!</v>
      </c>
      <c r="AH102" s="82" t="e">
        <f t="shared" si="114"/>
        <v>#REF!</v>
      </c>
      <c r="AI102" s="82"/>
      <c r="AJ102" s="276"/>
      <c r="AK102" s="82"/>
      <c r="AL102" s="82"/>
      <c r="AM102" s="82"/>
      <c r="AN102" s="79"/>
      <c r="AO102" s="28" t="e">
        <f>AO100-AO101</f>
        <v>#REF!</v>
      </c>
      <c r="AP102" s="82" t="e">
        <f t="shared" si="115"/>
        <v>#REF!</v>
      </c>
      <c r="AQ102" s="82"/>
      <c r="AR102" s="82"/>
      <c r="AS102" s="82"/>
      <c r="AT102" s="79"/>
      <c r="AU102" s="83">
        <v>856</v>
      </c>
      <c r="AV102" s="84">
        <v>10620</v>
      </c>
      <c r="AW102" s="85">
        <f>AU102/AV102</f>
        <v>8.0602636534839928E-2</v>
      </c>
      <c r="AX102" s="30"/>
      <c r="AY102" s="86">
        <f>AY100-AY101</f>
        <v>1062</v>
      </c>
      <c r="AZ102" s="85">
        <f>AY102/AV102</f>
        <v>0.1</v>
      </c>
      <c r="BA102" s="87">
        <f>BA100-BA101</f>
        <v>1380.6</v>
      </c>
      <c r="BB102" s="85">
        <f>BA102/AV102</f>
        <v>0.13</v>
      </c>
      <c r="BC102" s="85"/>
      <c r="BD102" s="267"/>
      <c r="BE102" s="85"/>
      <c r="BF102" s="85"/>
      <c r="BG102" s="85"/>
      <c r="BH102" s="79"/>
      <c r="BI102" s="87">
        <f>BI100-BI101</f>
        <v>1699.2</v>
      </c>
      <c r="BJ102" s="85">
        <f>BI102/AV102</f>
        <v>0.16</v>
      </c>
      <c r="BK102" s="85"/>
      <c r="BL102" s="85"/>
      <c r="BM102" s="85"/>
      <c r="BN102" s="79"/>
      <c r="BO102" s="4"/>
      <c r="BP102" s="4"/>
      <c r="BQ102" s="4"/>
      <c r="BR102" s="4"/>
      <c r="BS102" s="4"/>
      <c r="BT102" s="4"/>
      <c r="BU102" s="144"/>
      <c r="BV102" s="144"/>
      <c r="BW102" s="144"/>
      <c r="BX102" s="160"/>
      <c r="BY102" s="259"/>
      <c r="BZ102" s="160"/>
      <c r="CA102" s="160"/>
      <c r="CB102" s="160"/>
      <c r="CC102" s="160"/>
      <c r="CD102" s="160"/>
      <c r="CE102" s="160"/>
      <c r="CF102" s="160"/>
      <c r="CG102" s="160"/>
      <c r="CH102" s="160"/>
      <c r="CI102" s="160"/>
      <c r="CJ102" s="259"/>
      <c r="CK102" s="160"/>
      <c r="CL102" s="160"/>
      <c r="CM102" s="160"/>
      <c r="CN102" s="161"/>
      <c r="CO102" s="160"/>
      <c r="CP102" s="259"/>
      <c r="CQ102" s="160"/>
      <c r="CR102" s="160"/>
      <c r="CS102" s="259"/>
      <c r="CT102" s="160"/>
      <c r="CU102" s="160"/>
      <c r="CV102" s="259"/>
      <c r="CW102" s="160"/>
      <c r="CX102" s="160"/>
      <c r="CY102" s="259"/>
      <c r="CZ102" s="160"/>
      <c r="DA102" s="160"/>
      <c r="DB102" s="259"/>
      <c r="DC102" s="160"/>
      <c r="DD102" s="160"/>
      <c r="DE102" s="160"/>
      <c r="DF102" s="160"/>
      <c r="DG102" s="160"/>
      <c r="DH102" s="160"/>
      <c r="DI102" s="160"/>
      <c r="DJ102" s="160"/>
      <c r="DK102" s="160"/>
      <c r="DL102" s="160"/>
      <c r="DM102" s="160"/>
      <c r="DN102" s="160"/>
      <c r="DO102" s="160"/>
      <c r="DP102" s="160"/>
      <c r="DQ102" s="160"/>
      <c r="DR102" s="160"/>
      <c r="DS102" s="160"/>
      <c r="DT102" s="160"/>
      <c r="DU102" s="160"/>
      <c r="DV102" s="160"/>
      <c r="DW102" s="160"/>
      <c r="DX102" s="160"/>
      <c r="DY102" s="160"/>
      <c r="DZ102" s="160"/>
      <c r="EA102" s="160"/>
      <c r="EB102" s="160"/>
      <c r="EC102" s="160"/>
      <c r="ED102" s="160"/>
      <c r="EE102" s="160"/>
      <c r="EF102" s="160"/>
    </row>
    <row r="103" spans="1:136" x14ac:dyDescent="0.25">
      <c r="A103" s="155" t="s">
        <v>118</v>
      </c>
      <c r="B103" s="63">
        <v>9096</v>
      </c>
      <c r="C103" s="128"/>
      <c r="D103" s="63">
        <v>21700</v>
      </c>
      <c r="E103" s="64">
        <f t="shared" si="108"/>
        <v>0.4191705069124424</v>
      </c>
      <c r="F103" s="64"/>
      <c r="G103" s="65">
        <f>B103</f>
        <v>9096</v>
      </c>
      <c r="H103" s="64">
        <f t="shared" si="109"/>
        <v>0.4191705069124424</v>
      </c>
      <c r="I103" s="65">
        <f>SUM(I104:I105)</f>
        <v>11900</v>
      </c>
      <c r="J103" s="64">
        <f t="shared" si="110"/>
        <v>0.54838709677419351</v>
      </c>
      <c r="K103" s="64"/>
      <c r="L103" s="275"/>
      <c r="M103" s="64"/>
      <c r="N103" s="64"/>
      <c r="O103" s="64"/>
      <c r="P103" s="66"/>
      <c r="Q103" s="65">
        <f>I103</f>
        <v>11900</v>
      </c>
      <c r="R103" s="64">
        <f t="shared" si="111"/>
        <v>0.54838709677419351</v>
      </c>
      <c r="S103" s="64"/>
      <c r="T103" s="64"/>
      <c r="U103" s="64"/>
      <c r="V103" s="66"/>
      <c r="W103" s="64"/>
      <c r="X103" s="253"/>
      <c r="Y103" s="67"/>
      <c r="Z103" s="68">
        <v>826</v>
      </c>
      <c r="AA103" s="68"/>
      <c r="AB103" s="68">
        <v>5400</v>
      </c>
      <c r="AC103" s="69">
        <f t="shared" ref="AC103" si="117">Z103/AB103</f>
        <v>0.15296296296296297</v>
      </c>
      <c r="AD103" s="69"/>
      <c r="AE103" s="88">
        <f>AB103*30%</f>
        <v>1620</v>
      </c>
      <c r="AF103" s="69">
        <f t="shared" si="113"/>
        <v>0.3</v>
      </c>
      <c r="AG103" s="88">
        <f>AB103*45%</f>
        <v>2430</v>
      </c>
      <c r="AH103" s="69">
        <f t="shared" si="114"/>
        <v>0.45</v>
      </c>
      <c r="AI103" s="69"/>
      <c r="AJ103" s="275"/>
      <c r="AK103" s="69"/>
      <c r="AL103" s="69"/>
      <c r="AM103" s="69"/>
      <c r="AN103" s="66"/>
      <c r="AO103" s="88">
        <f>AB103*60%</f>
        <v>3240</v>
      </c>
      <c r="AP103" s="69">
        <f t="shared" si="115"/>
        <v>0.6</v>
      </c>
      <c r="AQ103" s="69"/>
      <c r="AR103" s="69"/>
      <c r="AS103" s="69"/>
      <c r="AT103" s="66"/>
      <c r="AU103" s="71">
        <v>0</v>
      </c>
      <c r="AV103" s="71">
        <v>9200</v>
      </c>
      <c r="AW103" s="72">
        <f t="shared" ref="AW103" si="118">AU103/AV103</f>
        <v>0</v>
      </c>
      <c r="AX103" s="72"/>
      <c r="AY103" s="73">
        <v>0</v>
      </c>
      <c r="AZ103" s="72"/>
      <c r="BA103" s="73">
        <v>0</v>
      </c>
      <c r="BB103" s="72"/>
      <c r="BC103" s="72"/>
      <c r="BD103" s="266"/>
      <c r="BE103" s="72"/>
      <c r="BF103" s="72"/>
      <c r="BG103" s="72"/>
      <c r="BH103" s="66"/>
      <c r="BI103" s="73">
        <v>0</v>
      </c>
      <c r="BJ103" s="72"/>
      <c r="BK103" s="72"/>
      <c r="BL103" s="72"/>
      <c r="BM103" s="72"/>
      <c r="BN103" s="66"/>
      <c r="BO103" s="53"/>
      <c r="BP103" s="53"/>
      <c r="BQ103" s="53"/>
      <c r="BR103" s="53"/>
      <c r="BS103" s="53"/>
      <c r="BT103" s="53"/>
      <c r="BU103" s="156"/>
      <c r="BV103" s="156"/>
      <c r="BW103" s="156"/>
      <c r="BX103" s="156"/>
      <c r="BY103" s="271"/>
      <c r="BZ103" s="156"/>
      <c r="CA103" s="156"/>
      <c r="CB103" s="156"/>
      <c r="CC103" s="157"/>
      <c r="CD103" s="156"/>
      <c r="CE103" s="156"/>
      <c r="CF103" s="156"/>
      <c r="CG103" s="156"/>
      <c r="CH103" s="157"/>
    </row>
    <row r="104" spans="1:136" x14ac:dyDescent="0.25">
      <c r="A104" s="158" t="s">
        <v>116</v>
      </c>
      <c r="B104" s="21">
        <v>6747</v>
      </c>
      <c r="C104" s="129"/>
      <c r="D104" s="74">
        <f>D103-D105</f>
        <v>13800</v>
      </c>
      <c r="E104" s="75">
        <f t="shared" si="108"/>
        <v>0.48891304347826087</v>
      </c>
      <c r="F104" s="76"/>
      <c r="G104" s="77">
        <f>B104*G103/(B105+B104)</f>
        <v>6698.3968565815321</v>
      </c>
      <c r="H104" s="75">
        <f t="shared" si="109"/>
        <v>0.48539107656387914</v>
      </c>
      <c r="I104" s="77">
        <v>7900</v>
      </c>
      <c r="J104" s="75">
        <f t="shared" si="110"/>
        <v>0.57246376811594202</v>
      </c>
      <c r="K104" s="75"/>
      <c r="L104" s="276"/>
      <c r="M104" s="75"/>
      <c r="N104" s="75"/>
      <c r="O104" s="75"/>
      <c r="P104" s="79"/>
      <c r="Q104" s="77">
        <f>I104</f>
        <v>7900</v>
      </c>
      <c r="R104" s="75">
        <f t="shared" si="111"/>
        <v>0.57246376811594202</v>
      </c>
      <c r="S104" s="75"/>
      <c r="T104" s="75"/>
      <c r="U104" s="75"/>
      <c r="V104" s="79"/>
      <c r="W104" s="75"/>
      <c r="X104" s="254"/>
      <c r="Y104" s="80"/>
      <c r="Z104" s="27">
        <v>826</v>
      </c>
      <c r="AA104" s="27"/>
      <c r="AB104" s="81">
        <f>AB103-AB105</f>
        <v>3500</v>
      </c>
      <c r="AC104" s="82">
        <f>Z104/AB104</f>
        <v>0.23599999999999999</v>
      </c>
      <c r="AD104" s="26"/>
      <c r="AE104" s="28">
        <f>AB104*30%</f>
        <v>1050</v>
      </c>
      <c r="AF104" s="82">
        <f t="shared" si="113"/>
        <v>0.3</v>
      </c>
      <c r="AG104" s="28">
        <f>AB104*45%</f>
        <v>1575</v>
      </c>
      <c r="AH104" s="82">
        <f t="shared" si="114"/>
        <v>0.45</v>
      </c>
      <c r="AI104" s="82"/>
      <c r="AJ104" s="276"/>
      <c r="AK104" s="82"/>
      <c r="AL104" s="82"/>
      <c r="AM104" s="82"/>
      <c r="AN104" s="79"/>
      <c r="AO104" s="28">
        <f>AB104*60%</f>
        <v>2100</v>
      </c>
      <c r="AP104" s="82">
        <f t="shared" si="115"/>
        <v>0.6</v>
      </c>
      <c r="AQ104" s="82"/>
      <c r="AR104" s="82"/>
      <c r="AS104" s="82"/>
      <c r="AT104" s="79"/>
      <c r="AU104" s="83">
        <v>0</v>
      </c>
      <c r="AV104" s="84">
        <f>AV103-AV105</f>
        <v>5900</v>
      </c>
      <c r="AW104" s="85">
        <v>0</v>
      </c>
      <c r="AX104" s="30"/>
      <c r="AY104" s="86"/>
      <c r="AZ104" s="85"/>
      <c r="BA104" s="86"/>
      <c r="BB104" s="85"/>
      <c r="BC104" s="85"/>
      <c r="BD104" s="267"/>
      <c r="BE104" s="85"/>
      <c r="BF104" s="85"/>
      <c r="BG104" s="85"/>
      <c r="BH104" s="79"/>
      <c r="BI104" s="86"/>
      <c r="BJ104" s="85"/>
      <c r="BK104" s="85"/>
      <c r="BL104" s="85"/>
      <c r="BM104" s="85"/>
      <c r="BN104" s="79"/>
      <c r="BO104" s="4"/>
      <c r="BP104" s="4"/>
      <c r="BQ104" s="4"/>
      <c r="BR104" s="4"/>
      <c r="BS104" s="4"/>
      <c r="BT104" s="4"/>
      <c r="BU104" s="144"/>
      <c r="BV104" s="144"/>
      <c r="BW104" s="144"/>
      <c r="BX104" s="144"/>
      <c r="BY104" s="260"/>
      <c r="BZ104" s="144"/>
      <c r="CA104" s="144"/>
      <c r="CB104" s="144"/>
      <c r="CD104" s="144"/>
      <c r="CE104" s="144"/>
      <c r="CF104" s="144"/>
      <c r="CG104" s="144"/>
    </row>
    <row r="105" spans="1:136" x14ac:dyDescent="0.25">
      <c r="A105" s="158" t="s">
        <v>117</v>
      </c>
      <c r="B105" s="21">
        <v>2415</v>
      </c>
      <c r="C105" s="129"/>
      <c r="D105" s="74">
        <v>7900</v>
      </c>
      <c r="E105" s="75">
        <f t="shared" si="108"/>
        <v>0.30569620253164559</v>
      </c>
      <c r="F105" s="76"/>
      <c r="G105" s="77">
        <f>B105*G103/(B105+B104)</f>
        <v>2397.6031434184674</v>
      </c>
      <c r="H105" s="75">
        <f t="shared" si="109"/>
        <v>0.3034940687871478</v>
      </c>
      <c r="I105" s="77">
        <v>4000</v>
      </c>
      <c r="J105" s="75">
        <f t="shared" si="110"/>
        <v>0.50632911392405067</v>
      </c>
      <c r="K105" s="75"/>
      <c r="L105" s="276"/>
      <c r="M105" s="75"/>
      <c r="N105" s="75"/>
      <c r="O105" s="75"/>
      <c r="P105" s="79"/>
      <c r="Q105" s="77">
        <f>I105</f>
        <v>4000</v>
      </c>
      <c r="R105" s="75">
        <f t="shared" si="111"/>
        <v>0.50632911392405067</v>
      </c>
      <c r="S105" s="75"/>
      <c r="T105" s="75"/>
      <c r="U105" s="75"/>
      <c r="V105" s="79"/>
      <c r="W105" s="75"/>
      <c r="X105" s="254"/>
      <c r="Y105" s="80"/>
      <c r="Z105" s="27">
        <v>0</v>
      </c>
      <c r="AA105" s="27"/>
      <c r="AB105" s="81">
        <v>1900</v>
      </c>
      <c r="AC105" s="82">
        <v>0</v>
      </c>
      <c r="AD105" s="26"/>
      <c r="AE105" s="28">
        <f>AB105*30%</f>
        <v>570</v>
      </c>
      <c r="AF105" s="82">
        <f t="shared" si="113"/>
        <v>0.3</v>
      </c>
      <c r="AG105" s="28">
        <f>AG103-AG104</f>
        <v>855</v>
      </c>
      <c r="AH105" s="82">
        <f t="shared" si="114"/>
        <v>0.45</v>
      </c>
      <c r="AI105" s="82"/>
      <c r="AJ105" s="276"/>
      <c r="AK105" s="82"/>
      <c r="AL105" s="82"/>
      <c r="AM105" s="82"/>
      <c r="AN105" s="79"/>
      <c r="AO105" s="28">
        <f>AO103-AO104</f>
        <v>1140</v>
      </c>
      <c r="AP105" s="82">
        <f t="shared" si="115"/>
        <v>0.6</v>
      </c>
      <c r="AQ105" s="82"/>
      <c r="AR105" s="82"/>
      <c r="AS105" s="82"/>
      <c r="AT105" s="79"/>
      <c r="AU105" s="83">
        <v>0</v>
      </c>
      <c r="AV105" s="84">
        <v>3300</v>
      </c>
      <c r="AW105" s="85">
        <v>0</v>
      </c>
      <c r="AX105" s="30"/>
      <c r="AY105" s="86"/>
      <c r="AZ105" s="85"/>
      <c r="BA105" s="86"/>
      <c r="BB105" s="85"/>
      <c r="BC105" s="85"/>
      <c r="BD105" s="267"/>
      <c r="BE105" s="85"/>
      <c r="BF105" s="85"/>
      <c r="BG105" s="85"/>
      <c r="BH105" s="79"/>
      <c r="BI105" s="86"/>
      <c r="BJ105" s="85"/>
      <c r="BK105" s="85"/>
      <c r="BL105" s="85"/>
      <c r="BM105" s="85"/>
      <c r="BN105" s="79"/>
      <c r="BO105" s="4"/>
      <c r="BP105" s="4"/>
      <c r="BQ105" s="4"/>
      <c r="BR105" s="4"/>
      <c r="BS105" s="4"/>
      <c r="BT105" s="4"/>
      <c r="BU105" s="144"/>
      <c r="BV105" s="144"/>
      <c r="BW105" s="144"/>
      <c r="BX105" s="144"/>
      <c r="BY105" s="260"/>
      <c r="BZ105" s="144"/>
      <c r="CA105" s="144"/>
      <c r="CB105" s="144"/>
      <c r="CD105" s="144"/>
      <c r="CE105" s="144"/>
      <c r="CF105" s="144"/>
      <c r="CG105" s="144"/>
    </row>
    <row r="106" spans="1:136" ht="25.5" x14ac:dyDescent="0.25">
      <c r="A106" s="162" t="s">
        <v>119</v>
      </c>
      <c r="B106" s="20">
        <f>B100+B103</f>
        <v>39123</v>
      </c>
      <c r="C106" s="125"/>
      <c r="D106" s="20">
        <f>D100+D103</f>
        <v>53500</v>
      </c>
      <c r="E106" s="46"/>
      <c r="F106" s="46"/>
      <c r="G106" s="47">
        <f>G100+G103</f>
        <v>31356</v>
      </c>
      <c r="H106" s="47"/>
      <c r="I106" s="47">
        <f t="shared" ref="I106:Q108" si="119">I100+I103</f>
        <v>36900</v>
      </c>
      <c r="J106" s="47"/>
      <c r="K106" s="47"/>
      <c r="L106" s="241"/>
      <c r="M106" s="47"/>
      <c r="N106" s="47"/>
      <c r="O106" s="47"/>
      <c r="P106" s="48"/>
      <c r="Q106" s="47">
        <f t="shared" si="119"/>
        <v>36900</v>
      </c>
      <c r="R106" s="46"/>
      <c r="S106" s="47"/>
      <c r="T106" s="47"/>
      <c r="U106" s="47"/>
      <c r="V106" s="48"/>
      <c r="W106" s="47"/>
      <c r="X106" s="255"/>
      <c r="Y106" s="47"/>
      <c r="Z106" s="25">
        <f>Z100+Z103</f>
        <v>2677</v>
      </c>
      <c r="AA106" s="25"/>
      <c r="AB106" s="25"/>
      <c r="AC106" s="49"/>
      <c r="AD106" s="49"/>
      <c r="AE106" s="50" t="e">
        <f>AE100+AE103</f>
        <v>#REF!</v>
      </c>
      <c r="AF106" s="50"/>
      <c r="AG106" s="50" t="e">
        <f t="shared" ref="AG106:AO108" si="120">AG100+AG103</f>
        <v>#REF!</v>
      </c>
      <c r="AH106" s="50"/>
      <c r="AI106" s="50"/>
      <c r="AJ106" s="241"/>
      <c r="AK106" s="50"/>
      <c r="AL106" s="50"/>
      <c r="AM106" s="50"/>
      <c r="AN106" s="51"/>
      <c r="AO106" s="50" t="e">
        <f t="shared" si="120"/>
        <v>#REF!</v>
      </c>
      <c r="AP106" s="49"/>
      <c r="AQ106" s="50"/>
      <c r="AR106" s="50"/>
      <c r="AS106" s="50"/>
      <c r="AT106" s="51"/>
      <c r="AU106" s="29"/>
      <c r="AV106" s="29"/>
      <c r="AW106" s="32"/>
      <c r="AX106" s="32"/>
      <c r="AY106" s="89">
        <f>AY100+AY103</f>
        <v>1800</v>
      </c>
      <c r="AZ106" s="32"/>
      <c r="BA106" s="89">
        <f>BA100+BA103</f>
        <v>2340</v>
      </c>
      <c r="BB106" s="89"/>
      <c r="BC106" s="89"/>
      <c r="BD106" s="264"/>
      <c r="BE106" s="89"/>
      <c r="BF106" s="89"/>
      <c r="BG106" s="89"/>
      <c r="BH106" s="56"/>
      <c r="BI106" s="89">
        <f t="shared" ref="BI106" si="121">BI100+BI103</f>
        <v>2880</v>
      </c>
      <c r="BJ106" s="32"/>
      <c r="BK106" s="32"/>
      <c r="BL106" s="32"/>
      <c r="BM106" s="32"/>
      <c r="BN106" s="90"/>
      <c r="BO106" s="3"/>
      <c r="BP106" s="3"/>
      <c r="BQ106" s="3"/>
      <c r="BR106" s="3"/>
      <c r="BS106" s="3"/>
      <c r="BT106" s="3"/>
      <c r="BU106" s="163"/>
      <c r="BV106" s="163"/>
      <c r="BW106" s="163"/>
      <c r="BX106" s="163"/>
      <c r="BY106" s="272"/>
      <c r="BZ106" s="163"/>
      <c r="CA106" s="163"/>
      <c r="CB106" s="163"/>
      <c r="CC106" s="164"/>
      <c r="CD106" s="163"/>
      <c r="CE106" s="163"/>
      <c r="CF106" s="163"/>
      <c r="CG106" s="163"/>
      <c r="CH106" s="164"/>
    </row>
    <row r="107" spans="1:136" x14ac:dyDescent="0.25">
      <c r="A107" s="165" t="s">
        <v>116</v>
      </c>
      <c r="B107" s="20">
        <v>20085</v>
      </c>
      <c r="C107" s="125"/>
      <c r="D107" s="20"/>
      <c r="E107" s="46"/>
      <c r="F107" s="46"/>
      <c r="G107" s="47">
        <f>G101+G104</f>
        <v>16525.637553335291</v>
      </c>
      <c r="H107" s="47"/>
      <c r="I107" s="47">
        <f t="shared" si="119"/>
        <v>18954</v>
      </c>
      <c r="J107" s="48">
        <v>18954</v>
      </c>
      <c r="K107" s="47"/>
      <c r="L107" s="241"/>
      <c r="M107" s="47"/>
      <c r="N107" s="47"/>
      <c r="O107" s="47"/>
      <c r="P107" s="48"/>
      <c r="Q107" s="47">
        <f t="shared" si="119"/>
        <v>18954</v>
      </c>
      <c r="R107" s="46"/>
      <c r="S107" s="47"/>
      <c r="T107" s="47"/>
      <c r="U107" s="47"/>
      <c r="V107" s="48"/>
      <c r="W107" s="47"/>
      <c r="X107" s="255"/>
      <c r="Y107" s="47"/>
      <c r="Z107" s="25">
        <v>1673</v>
      </c>
      <c r="AA107" s="25"/>
      <c r="AB107" s="25"/>
      <c r="AC107" s="49"/>
      <c r="AD107" s="49"/>
      <c r="AE107" s="50">
        <f>AE101+AE104</f>
        <v>1911</v>
      </c>
      <c r="AF107" s="50"/>
      <c r="AG107" s="50">
        <f t="shared" si="120"/>
        <v>2866.5</v>
      </c>
      <c r="AH107" s="50"/>
      <c r="AI107" s="50"/>
      <c r="AJ107" s="241"/>
      <c r="AK107" s="50"/>
      <c r="AL107" s="50"/>
      <c r="AM107" s="50"/>
      <c r="AN107" s="51"/>
      <c r="AO107" s="50">
        <f t="shared" si="120"/>
        <v>3822</v>
      </c>
      <c r="AP107" s="49"/>
      <c r="AQ107" s="50"/>
      <c r="AR107" s="50"/>
      <c r="AS107" s="50"/>
      <c r="AT107" s="51"/>
      <c r="AU107" s="29">
        <v>334</v>
      </c>
      <c r="AV107" s="29"/>
      <c r="AW107" s="32"/>
      <c r="AX107" s="32"/>
      <c r="AY107" s="89">
        <f>AY101+AY104</f>
        <v>738</v>
      </c>
      <c r="AZ107" s="32"/>
      <c r="BA107" s="31">
        <f>BA101+BA104</f>
        <v>959.4</v>
      </c>
      <c r="BB107" s="31"/>
      <c r="BC107" s="31"/>
      <c r="BD107" s="264"/>
      <c r="BE107" s="31"/>
      <c r="BF107" s="31"/>
      <c r="BG107" s="31"/>
      <c r="BH107" s="51"/>
      <c r="BI107" s="31">
        <f>BI101+BI104</f>
        <v>1180.8</v>
      </c>
      <c r="BJ107" s="32"/>
      <c r="BK107" s="32"/>
      <c r="BL107" s="32"/>
      <c r="BM107" s="32"/>
      <c r="BN107" s="90"/>
      <c r="BO107" s="15"/>
      <c r="BP107" s="15"/>
      <c r="BQ107" s="15"/>
      <c r="BR107" s="15"/>
      <c r="BS107" s="15"/>
      <c r="BT107" s="15"/>
      <c r="BU107" s="163"/>
      <c r="BV107" s="163"/>
      <c r="BW107" s="163"/>
      <c r="BX107" s="163"/>
      <c r="BY107" s="272"/>
      <c r="BZ107" s="163"/>
      <c r="CA107" s="163"/>
      <c r="CB107" s="163"/>
      <c r="CC107" s="164"/>
      <c r="CD107" s="163"/>
      <c r="CE107" s="163"/>
      <c r="CF107" s="163"/>
      <c r="CG107" s="163"/>
      <c r="CH107" s="164"/>
    </row>
    <row r="108" spans="1:136" ht="25.5" x14ac:dyDescent="0.25">
      <c r="A108" s="165" t="s">
        <v>117</v>
      </c>
      <c r="B108" s="20">
        <f>B106-B107</f>
        <v>19038</v>
      </c>
      <c r="C108" s="125"/>
      <c r="D108" s="20"/>
      <c r="E108" s="46"/>
      <c r="F108" s="46"/>
      <c r="G108" s="47">
        <f>G102+G105</f>
        <v>14830.362446664707</v>
      </c>
      <c r="H108" s="47"/>
      <c r="I108" s="47">
        <f t="shared" si="119"/>
        <v>17946</v>
      </c>
      <c r="J108" s="47"/>
      <c r="K108" s="47"/>
      <c r="L108" s="241"/>
      <c r="M108" s="47"/>
      <c r="N108" s="47"/>
      <c r="O108" s="47"/>
      <c r="P108" s="48"/>
      <c r="Q108" s="47">
        <f t="shared" si="119"/>
        <v>17946</v>
      </c>
      <c r="R108" s="46"/>
      <c r="S108" s="47"/>
      <c r="T108" s="47"/>
      <c r="U108" s="47"/>
      <c r="V108" s="48"/>
      <c r="W108" s="47"/>
      <c r="X108" s="255"/>
      <c r="Y108" s="47"/>
      <c r="Z108" s="25">
        <f>Z106-Z107</f>
        <v>1004</v>
      </c>
      <c r="AA108" s="25"/>
      <c r="AB108" s="25"/>
      <c r="AC108" s="49"/>
      <c r="AD108" s="49"/>
      <c r="AE108" s="50" t="e">
        <f>AE102+AE105</f>
        <v>#REF!</v>
      </c>
      <c r="AF108" s="50"/>
      <c r="AG108" s="50" t="e">
        <f t="shared" si="120"/>
        <v>#REF!</v>
      </c>
      <c r="AH108" s="50"/>
      <c r="AI108" s="50"/>
      <c r="AJ108" s="241"/>
      <c r="AK108" s="50"/>
      <c r="AL108" s="50"/>
      <c r="AM108" s="50"/>
      <c r="AN108" s="51"/>
      <c r="AO108" s="50" t="e">
        <f t="shared" si="120"/>
        <v>#REF!</v>
      </c>
      <c r="AP108" s="49"/>
      <c r="AQ108" s="50"/>
      <c r="AR108" s="50"/>
      <c r="AS108" s="50"/>
      <c r="AT108" s="51"/>
      <c r="AU108" s="29"/>
      <c r="AV108" s="29"/>
      <c r="AW108" s="32"/>
      <c r="AX108" s="32"/>
      <c r="AY108" s="89">
        <f>AY102+AY105</f>
        <v>1062</v>
      </c>
      <c r="AZ108" s="32"/>
      <c r="BA108" s="31">
        <f>BA102+BA105</f>
        <v>1380.6</v>
      </c>
      <c r="BB108" s="32"/>
      <c r="BC108" s="32"/>
      <c r="BD108" s="264"/>
      <c r="BE108" s="32"/>
      <c r="BF108" s="32"/>
      <c r="BG108" s="32"/>
      <c r="BH108" s="90"/>
      <c r="BI108" s="31">
        <f>BI102+BI105</f>
        <v>1699.2</v>
      </c>
      <c r="BJ108" s="32"/>
      <c r="BK108" s="32"/>
      <c r="BL108" s="32"/>
      <c r="BM108" s="32"/>
      <c r="BN108" s="90"/>
      <c r="BO108" s="3"/>
      <c r="BP108" s="3"/>
      <c r="BQ108" s="3"/>
      <c r="BR108" s="3"/>
      <c r="BS108" s="3"/>
      <c r="BT108" s="3"/>
      <c r="BU108" s="163"/>
      <c r="BV108" s="163"/>
      <c r="BW108" s="163"/>
      <c r="BX108" s="163"/>
      <c r="BY108" s="272"/>
      <c r="BZ108" s="163"/>
      <c r="CA108" s="163"/>
      <c r="CB108" s="163"/>
      <c r="CC108" s="164"/>
      <c r="CD108" s="163"/>
      <c r="CE108" s="163"/>
      <c r="CF108" s="163"/>
      <c r="CG108" s="163"/>
      <c r="CH108" s="164"/>
    </row>
    <row r="109" spans="1:136" hidden="1" x14ac:dyDescent="0.25">
      <c r="G109" s="167"/>
      <c r="H109" s="167"/>
      <c r="I109" s="167"/>
      <c r="J109" s="148"/>
      <c r="K109" s="148"/>
      <c r="M109" s="148"/>
      <c r="N109" s="148"/>
      <c r="O109" s="148"/>
      <c r="P109" s="168"/>
      <c r="Q109" s="169"/>
      <c r="W109" s="170"/>
      <c r="X109" s="260"/>
      <c r="Y109" s="170"/>
      <c r="AE109" s="167"/>
      <c r="AG109" s="148"/>
      <c r="AO109" s="169"/>
      <c r="AP109" s="169"/>
      <c r="AQ109" s="169"/>
      <c r="AR109" s="169"/>
      <c r="AS109" s="169"/>
      <c r="AT109" s="171"/>
      <c r="AY109" s="169"/>
      <c r="AZ109" s="169"/>
      <c r="BA109" s="169"/>
      <c r="BI109" s="169"/>
      <c r="BO109" s="144"/>
      <c r="BP109" s="144"/>
      <c r="BQ109" s="144"/>
      <c r="BR109" s="144"/>
      <c r="BS109" s="144"/>
      <c r="BT109" s="144"/>
      <c r="BU109" s="144"/>
      <c r="BV109" s="144"/>
      <c r="BW109" s="144"/>
      <c r="BX109" s="144"/>
      <c r="BY109" s="260"/>
      <c r="BZ109" s="144"/>
      <c r="CA109" s="144"/>
      <c r="CB109" s="144"/>
      <c r="CD109" s="144"/>
      <c r="CE109" s="144"/>
      <c r="CF109" s="144"/>
      <c r="CG109" s="144"/>
    </row>
    <row r="110" spans="1:136" hidden="1" x14ac:dyDescent="0.25">
      <c r="A110" s="155" t="s">
        <v>28</v>
      </c>
      <c r="B110" s="91">
        <v>8371</v>
      </c>
      <c r="C110" s="131"/>
      <c r="D110" s="91">
        <v>15800</v>
      </c>
      <c r="E110" s="92">
        <f>B110/D110</f>
        <v>0.52981012658227844</v>
      </c>
      <c r="F110" s="92"/>
      <c r="G110" s="93">
        <f>G112-G111</f>
        <v>7891</v>
      </c>
      <c r="H110" s="92"/>
      <c r="I110" s="93">
        <f>G110</f>
        <v>7891</v>
      </c>
      <c r="J110" s="92"/>
      <c r="K110" s="94" t="e">
        <f>#REF!</f>
        <v>#REF!</v>
      </c>
      <c r="L110" s="277"/>
      <c r="M110" s="92"/>
      <c r="N110" s="92"/>
      <c r="O110" s="92"/>
      <c r="P110" s="95"/>
      <c r="Q110" s="93">
        <f>I110</f>
        <v>7891</v>
      </c>
      <c r="R110" s="92"/>
      <c r="S110" s="92"/>
      <c r="T110" s="92"/>
      <c r="U110" s="92"/>
      <c r="V110" s="95"/>
      <c r="W110" s="92"/>
      <c r="X110" s="257"/>
      <c r="Y110" s="96"/>
      <c r="Z110" s="97">
        <v>2003</v>
      </c>
      <c r="AA110" s="97"/>
      <c r="AB110" s="97">
        <v>5600</v>
      </c>
      <c r="AC110" s="98">
        <f>Z110/AB110</f>
        <v>0.3576785714285714</v>
      </c>
      <c r="AD110" s="98"/>
      <c r="AE110" s="99">
        <f>Z110*AE112/Z112</f>
        <v>2230.4654611211572</v>
      </c>
      <c r="AF110" s="98"/>
      <c r="AG110" s="99">
        <f>AE110</f>
        <v>2230.4654611211572</v>
      </c>
      <c r="AH110" s="98"/>
      <c r="AI110" s="98"/>
      <c r="AJ110" s="277"/>
      <c r="AK110" s="98"/>
      <c r="AL110" s="98"/>
      <c r="AM110" s="98"/>
      <c r="AN110" s="95"/>
      <c r="AO110" s="99">
        <f>AG110</f>
        <v>2230.4654611211572</v>
      </c>
      <c r="AP110" s="98"/>
      <c r="AQ110" s="98"/>
      <c r="AR110" s="98"/>
      <c r="AS110" s="98"/>
      <c r="AT110" s="95"/>
      <c r="AU110" s="100">
        <v>627</v>
      </c>
      <c r="AV110" s="100">
        <v>6400</v>
      </c>
      <c r="AW110" s="101">
        <f>AU110/AV110</f>
        <v>9.7968749999999993E-2</v>
      </c>
      <c r="AX110" s="101"/>
      <c r="AY110" s="102">
        <f>AU110*AY112/AU112</f>
        <v>627.41468253968253</v>
      </c>
      <c r="AZ110" s="102"/>
      <c r="BA110" s="102">
        <f>AY110</f>
        <v>627.41468253968253</v>
      </c>
      <c r="BB110" s="102"/>
      <c r="BC110" s="102"/>
      <c r="BD110" s="268"/>
      <c r="BE110" s="102"/>
      <c r="BF110" s="102"/>
      <c r="BG110" s="102"/>
      <c r="BH110" s="103"/>
      <c r="BI110" s="102">
        <f>BA110</f>
        <v>627.41468253968253</v>
      </c>
      <c r="BJ110" s="101"/>
      <c r="BK110" s="101"/>
      <c r="BL110" s="101"/>
      <c r="BM110" s="101"/>
      <c r="BN110" s="95"/>
      <c r="BO110" s="1"/>
      <c r="BP110" s="1"/>
      <c r="BQ110" s="1"/>
      <c r="BR110" s="1"/>
      <c r="BS110" s="1"/>
      <c r="BT110" s="1"/>
      <c r="BU110" s="8"/>
      <c r="BV110" s="8"/>
      <c r="BW110" s="8"/>
      <c r="BX110" s="8"/>
      <c r="BY110" s="273"/>
      <c r="BZ110" s="8"/>
      <c r="CA110" s="8"/>
      <c r="CB110" s="8"/>
      <c r="CC110" s="172"/>
      <c r="CD110" s="8"/>
      <c r="CE110" s="8"/>
      <c r="CF110" s="8"/>
      <c r="CG110" s="8"/>
      <c r="CH110" s="172"/>
    </row>
    <row r="111" spans="1:136" hidden="1" x14ac:dyDescent="0.25">
      <c r="A111" s="155" t="s">
        <v>109</v>
      </c>
      <c r="B111" s="91">
        <v>3851</v>
      </c>
      <c r="C111" s="131"/>
      <c r="D111" s="91">
        <v>6800</v>
      </c>
      <c r="E111" s="92">
        <f>B111/D111</f>
        <v>0.56632352941176467</v>
      </c>
      <c r="F111" s="92"/>
      <c r="G111" s="93">
        <v>3851</v>
      </c>
      <c r="H111" s="92"/>
      <c r="I111" s="93">
        <f>G111</f>
        <v>3851</v>
      </c>
      <c r="J111" s="92"/>
      <c r="K111" s="94" t="e">
        <f>#REF!</f>
        <v>#REF!</v>
      </c>
      <c r="L111" s="277"/>
      <c r="M111" s="92"/>
      <c r="N111" s="92"/>
      <c r="O111" s="92"/>
      <c r="P111" s="95"/>
      <c r="Q111" s="93">
        <f>I111</f>
        <v>3851</v>
      </c>
      <c r="R111" s="92"/>
      <c r="S111" s="92"/>
      <c r="T111" s="92"/>
      <c r="U111" s="92"/>
      <c r="V111" s="95"/>
      <c r="W111" s="92"/>
      <c r="X111" s="257"/>
      <c r="Y111" s="96"/>
      <c r="Z111" s="97">
        <v>762</v>
      </c>
      <c r="AA111" s="97"/>
      <c r="AB111" s="97">
        <v>1600</v>
      </c>
      <c r="AC111" s="98">
        <f t="shared" ref="AC111" si="122">Z111/AB111</f>
        <v>0.47625000000000001</v>
      </c>
      <c r="AD111" s="98"/>
      <c r="AE111" s="99">
        <f>Z111*AE112/Z112</f>
        <v>848.53453887884268</v>
      </c>
      <c r="AF111" s="98"/>
      <c r="AG111" s="99">
        <f>AE111</f>
        <v>848.53453887884268</v>
      </c>
      <c r="AH111" s="98"/>
      <c r="AI111" s="98"/>
      <c r="AJ111" s="277"/>
      <c r="AK111" s="98"/>
      <c r="AL111" s="98"/>
      <c r="AM111" s="98"/>
      <c r="AN111" s="95"/>
      <c r="AO111" s="99">
        <f>AG111</f>
        <v>848.53453887884268</v>
      </c>
      <c r="AP111" s="98"/>
      <c r="AQ111" s="98"/>
      <c r="AR111" s="98"/>
      <c r="AS111" s="98"/>
      <c r="AT111" s="95"/>
      <c r="AU111" s="100">
        <v>885</v>
      </c>
      <c r="AV111" s="100">
        <v>2900</v>
      </c>
      <c r="AW111" s="101">
        <f t="shared" ref="AW111" si="123">AU111/AV111</f>
        <v>0.30517241379310345</v>
      </c>
      <c r="AX111" s="101"/>
      <c r="AY111" s="102">
        <f>AU111*AY112/AU112</f>
        <v>885.58531746031747</v>
      </c>
      <c r="AZ111" s="102"/>
      <c r="BA111" s="102">
        <f>AY111</f>
        <v>885.58531746031747</v>
      </c>
      <c r="BB111" s="102"/>
      <c r="BC111" s="102"/>
      <c r="BD111" s="268"/>
      <c r="BE111" s="102"/>
      <c r="BF111" s="102"/>
      <c r="BG111" s="102"/>
      <c r="BH111" s="103"/>
      <c r="BI111" s="102">
        <f>BA111</f>
        <v>885.58531746031747</v>
      </c>
      <c r="BJ111" s="101"/>
      <c r="BK111" s="101"/>
      <c r="BL111" s="101"/>
      <c r="BM111" s="101"/>
      <c r="BN111" s="95"/>
      <c r="BO111" s="1"/>
      <c r="BP111" s="1"/>
      <c r="BQ111" s="1"/>
      <c r="BR111" s="1"/>
      <c r="BS111" s="1"/>
      <c r="BT111" s="1"/>
      <c r="BU111" s="8"/>
      <c r="BV111" s="8"/>
      <c r="BW111" s="8"/>
      <c r="BX111" s="8"/>
      <c r="BY111" s="273"/>
      <c r="BZ111" s="8"/>
      <c r="CA111" s="8"/>
      <c r="CB111" s="8"/>
      <c r="CC111" s="172"/>
      <c r="CD111" s="8"/>
      <c r="CE111" s="8"/>
      <c r="CF111" s="8"/>
      <c r="CG111" s="8"/>
      <c r="CH111" s="172"/>
    </row>
    <row r="112" spans="1:136" ht="25.5" hidden="1" x14ac:dyDescent="0.25">
      <c r="A112" s="173" t="s">
        <v>120</v>
      </c>
      <c r="B112" s="20">
        <f>B110+B111</f>
        <v>12222</v>
      </c>
      <c r="C112" s="125"/>
      <c r="D112" s="20">
        <f>D110+D111</f>
        <v>22600</v>
      </c>
      <c r="E112" s="46"/>
      <c r="F112" s="46"/>
      <c r="G112" s="104">
        <v>11742</v>
      </c>
      <c r="H112" s="46"/>
      <c r="I112" s="104">
        <v>11742</v>
      </c>
      <c r="J112" s="46"/>
      <c r="K112" s="105" t="e">
        <f>K111+K110</f>
        <v>#REF!</v>
      </c>
      <c r="L112" s="241"/>
      <c r="M112" s="46"/>
      <c r="N112" s="46"/>
      <c r="O112" s="46"/>
      <c r="P112" s="90"/>
      <c r="Q112" s="104">
        <v>11742</v>
      </c>
      <c r="R112" s="46"/>
      <c r="S112" s="46"/>
      <c r="T112" s="46"/>
      <c r="U112" s="46"/>
      <c r="V112" s="90"/>
      <c r="W112" s="46"/>
      <c r="X112" s="255"/>
      <c r="Y112" s="106"/>
      <c r="Z112" s="25">
        <f>Z110+Z111</f>
        <v>2765</v>
      </c>
      <c r="AA112" s="25"/>
      <c r="AB112" s="25"/>
      <c r="AC112" s="49"/>
      <c r="AD112" s="49"/>
      <c r="AE112" s="50">
        <v>3079</v>
      </c>
      <c r="AF112" s="49"/>
      <c r="AG112" s="50">
        <v>3079</v>
      </c>
      <c r="AH112" s="49"/>
      <c r="AI112" s="49"/>
      <c r="AJ112" s="241"/>
      <c r="AK112" s="49"/>
      <c r="AL112" s="49"/>
      <c r="AM112" s="49"/>
      <c r="AN112" s="90"/>
      <c r="AO112" s="50">
        <v>3079</v>
      </c>
      <c r="AP112" s="49"/>
      <c r="AQ112" s="49"/>
      <c r="AR112" s="49"/>
      <c r="AS112" s="49"/>
      <c r="AT112" s="90"/>
      <c r="AU112" s="29">
        <f>SUM(AU110:AU111)</f>
        <v>1512</v>
      </c>
      <c r="AV112" s="29"/>
      <c r="AW112" s="32"/>
      <c r="AX112" s="32"/>
      <c r="AY112" s="89">
        <v>1513</v>
      </c>
      <c r="AZ112" s="89"/>
      <c r="BA112" s="89">
        <v>1513</v>
      </c>
      <c r="BB112" s="89"/>
      <c r="BC112" s="89"/>
      <c r="BD112" s="264"/>
      <c r="BE112" s="89"/>
      <c r="BF112" s="89"/>
      <c r="BG112" s="89"/>
      <c r="BH112" s="56"/>
      <c r="BI112" s="89">
        <v>1513</v>
      </c>
      <c r="BJ112" s="89"/>
      <c r="BK112" s="89"/>
      <c r="BL112" s="89"/>
      <c r="BM112" s="89"/>
      <c r="BN112" s="56"/>
      <c r="BO112" s="5"/>
      <c r="BP112" s="5"/>
      <c r="BQ112" s="5"/>
      <c r="BR112" s="5"/>
      <c r="BS112" s="5"/>
      <c r="BT112" s="5"/>
      <c r="BU112" s="144"/>
      <c r="BV112" s="144"/>
      <c r="BW112" s="144"/>
      <c r="BX112" s="144"/>
      <c r="BY112" s="260"/>
      <c r="BZ112" s="144"/>
      <c r="CA112" s="144"/>
      <c r="CB112" s="144"/>
      <c r="CD112" s="144"/>
      <c r="CE112" s="144"/>
      <c r="CF112" s="144"/>
      <c r="CG112" s="144"/>
    </row>
    <row r="113" spans="1:144" hidden="1" x14ac:dyDescent="0.25">
      <c r="A113" s="174" t="s">
        <v>121</v>
      </c>
      <c r="B113" s="20">
        <v>12209</v>
      </c>
      <c r="C113" s="125"/>
      <c r="D113" s="21"/>
      <c r="E113" s="76"/>
      <c r="F113" s="76"/>
      <c r="G113" s="107"/>
      <c r="H113" s="76"/>
      <c r="I113" s="107"/>
      <c r="J113" s="76"/>
      <c r="K113" s="76"/>
      <c r="L113" s="250"/>
      <c r="M113" s="76"/>
      <c r="N113" s="76"/>
      <c r="O113" s="76"/>
      <c r="P113" s="41"/>
      <c r="Q113" s="107"/>
      <c r="R113" s="76"/>
      <c r="S113" s="76"/>
      <c r="T113" s="76"/>
      <c r="U113" s="76"/>
      <c r="V113" s="41"/>
      <c r="W113" s="76"/>
      <c r="X113" s="258"/>
      <c r="Y113" s="108"/>
      <c r="Z113" s="25">
        <v>2763</v>
      </c>
      <c r="AA113" s="25"/>
      <c r="AB113" s="25"/>
      <c r="AC113" s="49"/>
      <c r="AD113" s="49"/>
      <c r="AE113" s="109"/>
      <c r="AF113" s="49"/>
      <c r="AG113" s="109"/>
      <c r="AH113" s="49"/>
      <c r="AI113" s="49"/>
      <c r="AJ113" s="241"/>
      <c r="AK113" s="49"/>
      <c r="AL113" s="49"/>
      <c r="AM113" s="49"/>
      <c r="AN113" s="90"/>
      <c r="AO113" s="109"/>
      <c r="AP113" s="49"/>
      <c r="AQ113" s="49"/>
      <c r="AR113" s="49"/>
      <c r="AS113" s="49"/>
      <c r="AT113" s="90"/>
      <c r="AU113" s="29">
        <v>1511</v>
      </c>
      <c r="AV113" s="29"/>
      <c r="AW113" s="32"/>
      <c r="AX113" s="32"/>
      <c r="AY113" s="89"/>
      <c r="AZ113" s="32"/>
      <c r="BA113" s="89"/>
      <c r="BB113" s="32"/>
      <c r="BC113" s="32"/>
      <c r="BD113" s="264"/>
      <c r="BE113" s="32"/>
      <c r="BF113" s="32"/>
      <c r="BG113" s="32"/>
      <c r="BH113" s="90"/>
      <c r="BI113" s="89"/>
      <c r="BJ113" s="32"/>
      <c r="BK113" s="32"/>
      <c r="BL113" s="32"/>
      <c r="BM113" s="32"/>
      <c r="BN113" s="90"/>
      <c r="BO113" s="4"/>
      <c r="BP113" s="4"/>
      <c r="BQ113" s="4"/>
      <c r="BR113" s="4"/>
      <c r="BS113" s="4"/>
      <c r="BT113" s="4"/>
      <c r="BU113" s="144"/>
      <c r="BV113" s="144"/>
      <c r="BW113" s="144"/>
      <c r="BX113" s="144"/>
      <c r="BY113" s="260"/>
      <c r="BZ113" s="144"/>
      <c r="CA113" s="144"/>
      <c r="CB113" s="144"/>
      <c r="CG113" s="144"/>
    </row>
    <row r="114" spans="1:144" hidden="1" x14ac:dyDescent="0.25"/>
    <row r="115" spans="1:144" hidden="1" x14ac:dyDescent="0.25">
      <c r="K115" s="167">
        <f>SUM(K46:K90,K25:K43,K4:K18)</f>
        <v>249481.72639999993</v>
      </c>
      <c r="L115" s="260">
        <v>299.53785582238538</v>
      </c>
      <c r="M115" s="176">
        <f>K115*L115</f>
        <v>74729221.392722979</v>
      </c>
      <c r="AI115" s="167">
        <f>SUM(AI46:AI90,AI25:AI43,AI4:AI18)</f>
        <v>50231.3</v>
      </c>
      <c r="AJ115" s="260">
        <v>299.14338461491138</v>
      </c>
      <c r="AK115" s="176">
        <f>AI115*AJ115</f>
        <v>15026361.095606999</v>
      </c>
      <c r="BC115" s="167">
        <f>SUM(BC46:BC90,BC25:BC43,BC4:BC18)</f>
        <v>57677.4</v>
      </c>
      <c r="BD115" s="175">
        <v>272.25783151942051</v>
      </c>
      <c r="BE115" s="176">
        <f>BC115*BD115</f>
        <v>15703123.851678224</v>
      </c>
      <c r="BX115" s="167">
        <f>SUM(BX46:BX90,BX25:BX43,BX4:BX18)</f>
        <v>2487.8000000000002</v>
      </c>
      <c r="BY115" s="175">
        <v>385.36209748427046</v>
      </c>
      <c r="BZ115" s="176">
        <f>BX115*BY115</f>
        <v>958703.8261213681</v>
      </c>
    </row>
    <row r="116" spans="1:144" hidden="1" x14ac:dyDescent="0.25">
      <c r="M116" s="142">
        <v>26.336632999999999</v>
      </c>
      <c r="AK116" s="142">
        <v>26.336632999999999</v>
      </c>
      <c r="BE116" s="142">
        <v>26.336632999999999</v>
      </c>
      <c r="BZ116" s="142">
        <v>26.336632999999999</v>
      </c>
    </row>
    <row r="117" spans="1:144" hidden="1" x14ac:dyDescent="0.25">
      <c r="C117" s="130" t="s">
        <v>131</v>
      </c>
      <c r="M117" s="177">
        <f>M115/$M$116</f>
        <v>2837462.9890131736</v>
      </c>
      <c r="AK117" s="177">
        <f>AK115/$M$116</f>
        <v>570549.81536960322</v>
      </c>
      <c r="BE117" s="177">
        <f>BE115/$M$116</f>
        <v>596246.44698045589</v>
      </c>
      <c r="BZ117" s="177">
        <f>BZ115/$M$116</f>
        <v>36401.913111724192</v>
      </c>
      <c r="CN117" s="148">
        <f>CN91/BZ116</f>
        <v>343374.79661883885</v>
      </c>
    </row>
    <row r="118" spans="1:144" s="160" customFormat="1" hidden="1" x14ac:dyDescent="0.25">
      <c r="A118" s="178"/>
      <c r="C118" s="132" t="s">
        <v>132</v>
      </c>
      <c r="L118" s="260"/>
      <c r="M118" s="179">
        <v>1633523.9182799025</v>
      </c>
      <c r="X118" s="259"/>
      <c r="Y118" s="161"/>
      <c r="AJ118" s="260"/>
      <c r="AK118" s="179">
        <v>319814.25677723315</v>
      </c>
      <c r="BD118" s="259"/>
      <c r="BE118" s="179">
        <v>316285.36988899007</v>
      </c>
      <c r="BY118" s="259"/>
      <c r="BZ118" s="179">
        <v>35532.882310164379</v>
      </c>
      <c r="CJ118" s="259"/>
      <c r="CN118" s="180">
        <v>226563</v>
      </c>
      <c r="CP118" s="259"/>
      <c r="CS118" s="259"/>
      <c r="CV118" s="259"/>
      <c r="CY118" s="259"/>
      <c r="DB118" s="259"/>
    </row>
    <row r="119" spans="1:144" hidden="1" x14ac:dyDescent="0.25">
      <c r="C119" s="130" t="s">
        <v>133</v>
      </c>
      <c r="M119" s="176">
        <f>M118-M117</f>
        <v>-1203939.0707332711</v>
      </c>
      <c r="AK119" s="176">
        <f>AK118-AK117</f>
        <v>-250735.55859237007</v>
      </c>
      <c r="BE119" s="176">
        <f>BE118-BE117</f>
        <v>-279961.07709146582</v>
      </c>
      <c r="BZ119" s="176">
        <f>BZ118-BZ117</f>
        <v>-869.03080155981297</v>
      </c>
      <c r="CN119" s="148">
        <f>CN118-CN117</f>
        <v>-116811.79661883885</v>
      </c>
    </row>
    <row r="120" spans="1:144" s="144" customFormat="1" hidden="1" x14ac:dyDescent="0.25">
      <c r="A120" s="181"/>
      <c r="C120" s="133"/>
      <c r="L120" s="260"/>
      <c r="M120" s="182"/>
      <c r="X120" s="260"/>
      <c r="Y120" s="170"/>
      <c r="AJ120" s="260"/>
      <c r="AK120" s="182"/>
      <c r="BD120" s="260"/>
      <c r="BE120" s="182"/>
      <c r="BY120" s="260"/>
      <c r="CJ120" s="260"/>
      <c r="CN120" s="170"/>
      <c r="CP120" s="260"/>
      <c r="CS120" s="260"/>
      <c r="CV120" s="260"/>
      <c r="CY120" s="260"/>
      <c r="DB120" s="260"/>
    </row>
    <row r="121" spans="1:144" hidden="1" x14ac:dyDescent="0.25">
      <c r="C121" s="130" t="s">
        <v>134</v>
      </c>
      <c r="M121" s="177">
        <v>1642060.1137383338</v>
      </c>
      <c r="AK121" s="177">
        <v>324360.07989982853</v>
      </c>
      <c r="BE121" s="177">
        <v>317852.18641657825</v>
      </c>
    </row>
    <row r="122" spans="1:144" hidden="1" x14ac:dyDescent="0.25"/>
    <row r="123" spans="1:144" s="160" customFormat="1" hidden="1" x14ac:dyDescent="0.25">
      <c r="A123" s="178"/>
      <c r="C123" s="134" t="s">
        <v>154</v>
      </c>
      <c r="K123" s="183">
        <f t="shared" ref="K123:BV123" si="124">K4+K6+K8+K19+K25+K28+K29+K34+K36+K41+K44+K46+K49+K54+K59+K60+K62+K63+K65+K69+K71+K73+K79+K83+K85</f>
        <v>142767.80000000002</v>
      </c>
      <c r="L123" s="260">
        <f t="shared" si="124"/>
        <v>7488.5</v>
      </c>
      <c r="M123" s="183">
        <f t="shared" si="124"/>
        <v>42764666.812000006</v>
      </c>
      <c r="N123" s="183">
        <f t="shared" si="124"/>
        <v>135924</v>
      </c>
      <c r="O123" s="183">
        <f t="shared" si="124"/>
        <v>82805.123999999996</v>
      </c>
      <c r="P123" s="183">
        <f t="shared" si="124"/>
        <v>124030.65</v>
      </c>
      <c r="Q123" s="183">
        <f t="shared" si="124"/>
        <v>194188</v>
      </c>
      <c r="R123" s="183">
        <f t="shared" si="124"/>
        <v>16.160450391644908</v>
      </c>
      <c r="S123" s="183">
        <f t="shared" si="124"/>
        <v>147582.88</v>
      </c>
      <c r="T123" s="183">
        <f t="shared" si="124"/>
        <v>155350.40000000002</v>
      </c>
      <c r="U123" s="183">
        <f t="shared" si="124"/>
        <v>85598.070399999997</v>
      </c>
      <c r="V123" s="183">
        <f t="shared" si="124"/>
        <v>141757.24</v>
      </c>
      <c r="W123" s="183">
        <f t="shared" si="124"/>
        <v>9993.746000000001</v>
      </c>
      <c r="X123" s="259">
        <f t="shared" si="124"/>
        <v>350</v>
      </c>
      <c r="Y123" s="183">
        <f t="shared" si="124"/>
        <v>139912.44400000002</v>
      </c>
      <c r="Z123" s="183">
        <f t="shared" si="124"/>
        <v>31143</v>
      </c>
      <c r="AA123" s="183">
        <f t="shared" si="124"/>
        <v>0</v>
      </c>
      <c r="AB123" s="183">
        <f t="shared" si="124"/>
        <v>60500</v>
      </c>
      <c r="AC123" s="183">
        <f t="shared" si="124"/>
        <v>11.680516611520906</v>
      </c>
      <c r="AD123" s="183">
        <f t="shared" si="124"/>
        <v>86</v>
      </c>
      <c r="AE123" s="183">
        <f t="shared" si="124"/>
        <v>30046.7</v>
      </c>
      <c r="AF123" s="183">
        <f t="shared" si="124"/>
        <v>10.633515385630091</v>
      </c>
      <c r="AG123" s="183">
        <f t="shared" si="124"/>
        <v>34595.699999999997</v>
      </c>
      <c r="AH123" s="183">
        <f t="shared" si="124"/>
        <v>12.395225481707833</v>
      </c>
      <c r="AI123" s="183">
        <f t="shared" si="124"/>
        <v>27980.775000000001</v>
      </c>
      <c r="AJ123" s="260">
        <f t="shared" si="124"/>
        <v>7478.5000000000027</v>
      </c>
      <c r="AK123" s="183">
        <f t="shared" si="124"/>
        <v>8370169.0334999999</v>
      </c>
      <c r="AL123" s="183">
        <f t="shared" si="124"/>
        <v>28022.517</v>
      </c>
      <c r="AM123" s="183">
        <f t="shared" si="124"/>
        <v>18467.311500000003</v>
      </c>
      <c r="AN123" s="183">
        <f t="shared" si="124"/>
        <v>29406.345000000001</v>
      </c>
      <c r="AO123" s="183">
        <f t="shared" si="124"/>
        <v>38341.699999999997</v>
      </c>
      <c r="AP123" s="183">
        <f t="shared" si="124"/>
        <v>14.204249999999998</v>
      </c>
      <c r="AQ123" s="183">
        <f t="shared" si="124"/>
        <v>28756.275000000001</v>
      </c>
      <c r="AR123" s="183">
        <f t="shared" si="124"/>
        <v>31056.776999999998</v>
      </c>
      <c r="AS123" s="183">
        <f t="shared" si="124"/>
        <v>19554.267</v>
      </c>
      <c r="AT123" s="183">
        <f t="shared" si="124"/>
        <v>33740.695999999996</v>
      </c>
      <c r="AU123" s="183">
        <f t="shared" si="124"/>
        <v>36053</v>
      </c>
      <c r="AV123" s="183">
        <f t="shared" si="124"/>
        <v>145000</v>
      </c>
      <c r="AW123" s="183">
        <f t="shared" si="124"/>
        <v>4.8212798375436599</v>
      </c>
      <c r="AX123" s="183">
        <f t="shared" si="124"/>
        <v>86</v>
      </c>
      <c r="AY123" s="183">
        <f t="shared" si="124"/>
        <v>39744</v>
      </c>
      <c r="AZ123" s="183">
        <f t="shared" si="124"/>
        <v>5.2254838709677411</v>
      </c>
      <c r="BA123" s="183">
        <f t="shared" si="124"/>
        <v>41823</v>
      </c>
      <c r="BB123" s="183">
        <f t="shared" si="124"/>
        <v>5.485925925925927</v>
      </c>
      <c r="BC123" s="183">
        <f t="shared" si="124"/>
        <v>30242.1</v>
      </c>
      <c r="BD123" s="259">
        <f t="shared" si="124"/>
        <v>6806.5000000000036</v>
      </c>
      <c r="BE123" s="183">
        <f t="shared" si="124"/>
        <v>8233714.1459999979</v>
      </c>
      <c r="BF123" s="183">
        <f t="shared" si="124"/>
        <v>30112.560000000001</v>
      </c>
      <c r="BG123" s="183">
        <f t="shared" si="124"/>
        <v>20867.048999999995</v>
      </c>
      <c r="BH123" s="183">
        <f t="shared" si="124"/>
        <v>34713.089999999997</v>
      </c>
      <c r="BI123" s="183">
        <f t="shared" si="124"/>
        <v>42921</v>
      </c>
      <c r="BJ123" s="183">
        <f t="shared" si="124"/>
        <v>5.6175475475475478</v>
      </c>
      <c r="BK123" s="183">
        <f t="shared" si="124"/>
        <v>30473.909999999996</v>
      </c>
      <c r="BL123" s="183">
        <f t="shared" si="124"/>
        <v>30903.119999999999</v>
      </c>
      <c r="BM123" s="183">
        <f t="shared" si="124"/>
        <v>21026.997899999998</v>
      </c>
      <c r="BN123" s="183">
        <f t="shared" si="124"/>
        <v>35624.43</v>
      </c>
      <c r="BO123" s="183">
        <f t="shared" si="124"/>
        <v>180</v>
      </c>
      <c r="BP123" s="183">
        <f t="shared" si="124"/>
        <v>70</v>
      </c>
      <c r="BQ123" s="183">
        <f t="shared" si="124"/>
        <v>30</v>
      </c>
      <c r="BR123" s="183">
        <f t="shared" si="124"/>
        <v>975</v>
      </c>
      <c r="BS123" s="183">
        <f t="shared" si="124"/>
        <v>2430.5</v>
      </c>
      <c r="BT123" s="183">
        <f t="shared" si="124"/>
        <v>2120.5</v>
      </c>
      <c r="BU123" s="183">
        <f t="shared" si="124"/>
        <v>1170</v>
      </c>
      <c r="BV123" s="183">
        <f t="shared" si="124"/>
        <v>1200</v>
      </c>
      <c r="BW123" s="183">
        <f t="shared" ref="BW123:EH123" si="125">BW4+BW6+BW8+BW19+BW25+BW28+BW29+BW34+BW36+BW41+BW44+BW46+BW49+BW54+BW59+BW60+BW62+BW63+BW65+BW69+BW71+BW73+BW79+BW83+BW85</f>
        <v>1900</v>
      </c>
      <c r="BX123" s="183">
        <f t="shared" si="125"/>
        <v>1244.1000000000001</v>
      </c>
      <c r="BY123" s="259">
        <f t="shared" si="125"/>
        <v>5395.04</v>
      </c>
      <c r="BZ123" s="183">
        <f t="shared" si="125"/>
        <v>479426.37599999999</v>
      </c>
      <c r="CA123" s="183">
        <f t="shared" si="125"/>
        <v>1364.0309999999999</v>
      </c>
      <c r="CB123" s="183">
        <f t="shared" si="125"/>
        <v>858.42899999999986</v>
      </c>
      <c r="CC123" s="183">
        <f t="shared" si="125"/>
        <v>1577</v>
      </c>
      <c r="CD123" s="183">
        <f t="shared" si="125"/>
        <v>3200</v>
      </c>
      <c r="CE123" s="183">
        <f t="shared" si="125"/>
        <v>2112</v>
      </c>
      <c r="CF123" s="183">
        <f t="shared" si="125"/>
        <v>2304</v>
      </c>
      <c r="CG123" s="183">
        <f t="shared" si="125"/>
        <v>1442.7072000000003</v>
      </c>
      <c r="CH123" s="183">
        <f t="shared" si="125"/>
        <v>2655.9999999999991</v>
      </c>
      <c r="CI123" s="183">
        <f t="shared" si="125"/>
        <v>1500</v>
      </c>
      <c r="CJ123" s="259">
        <f t="shared" si="125"/>
        <v>8106</v>
      </c>
      <c r="CK123" s="183">
        <f t="shared" si="125"/>
        <v>2026500</v>
      </c>
      <c r="CL123" s="183" t="e">
        <f t="shared" si="125"/>
        <v>#VALUE!</v>
      </c>
      <c r="CM123" s="183">
        <f t="shared" si="125"/>
        <v>34560</v>
      </c>
      <c r="CN123" s="183">
        <f t="shared" si="125"/>
        <v>4685524</v>
      </c>
      <c r="CO123" s="183">
        <f t="shared" si="125"/>
        <v>978</v>
      </c>
      <c r="CP123" s="259">
        <f t="shared" si="125"/>
        <v>56244.750000000015</v>
      </c>
      <c r="CQ123" s="183">
        <f t="shared" si="125"/>
        <v>2200294.62</v>
      </c>
      <c r="CR123" s="183">
        <f t="shared" si="125"/>
        <v>2490</v>
      </c>
      <c r="CS123" s="259">
        <f t="shared" si="125"/>
        <v>11137.750000000004</v>
      </c>
      <c r="CT123" s="183">
        <f t="shared" si="125"/>
        <v>1109319.8999999999</v>
      </c>
      <c r="CU123" s="183">
        <f t="shared" si="125"/>
        <v>222</v>
      </c>
      <c r="CV123" s="259">
        <f t="shared" si="125"/>
        <v>56244.750000000015</v>
      </c>
      <c r="CW123" s="183">
        <f t="shared" si="125"/>
        <v>499453.38</v>
      </c>
      <c r="CX123" s="183">
        <f t="shared" si="125"/>
        <v>47</v>
      </c>
      <c r="CY123" s="259">
        <f t="shared" si="125"/>
        <v>56244.750000000015</v>
      </c>
      <c r="CZ123" s="183">
        <f t="shared" si="125"/>
        <v>105740.13</v>
      </c>
      <c r="DA123" s="183">
        <f t="shared" si="125"/>
        <v>1220</v>
      </c>
      <c r="DB123" s="259">
        <f t="shared" si="125"/>
        <v>11606.500000000004</v>
      </c>
      <c r="DC123" s="183">
        <f t="shared" si="125"/>
        <v>566397.19999999995</v>
      </c>
      <c r="DD123" s="183">
        <f t="shared" si="125"/>
        <v>66</v>
      </c>
      <c r="DE123" s="183">
        <f t="shared" si="125"/>
        <v>56244.750000000015</v>
      </c>
      <c r="DF123" s="183">
        <f t="shared" si="125"/>
        <v>148486.14000000001</v>
      </c>
      <c r="DG123" s="183">
        <f t="shared" si="125"/>
        <v>12</v>
      </c>
      <c r="DH123" s="183">
        <f t="shared" si="125"/>
        <v>56244.750000000015</v>
      </c>
      <c r="DI123" s="183">
        <f t="shared" si="125"/>
        <v>26997.48</v>
      </c>
      <c r="DJ123" s="183">
        <f t="shared" si="125"/>
        <v>350</v>
      </c>
      <c r="DK123" s="183">
        <f t="shared" si="125"/>
        <v>12606.500000000004</v>
      </c>
      <c r="DL123" s="183">
        <f t="shared" si="125"/>
        <v>176491</v>
      </c>
      <c r="DM123" s="183">
        <f t="shared" si="125"/>
        <v>14</v>
      </c>
      <c r="DN123" s="183">
        <f t="shared" si="125"/>
        <v>56244.750000000015</v>
      </c>
      <c r="DO123" s="183">
        <f t="shared" si="125"/>
        <v>31497.06</v>
      </c>
      <c r="DP123" s="183">
        <f t="shared" si="125"/>
        <v>0</v>
      </c>
      <c r="DQ123" s="183">
        <f t="shared" si="125"/>
        <v>0</v>
      </c>
      <c r="DR123" s="183">
        <f t="shared" si="125"/>
        <v>0</v>
      </c>
      <c r="DS123" s="183">
        <f t="shared" si="125"/>
        <v>0</v>
      </c>
      <c r="DT123" s="183">
        <f t="shared" si="125"/>
        <v>0</v>
      </c>
      <c r="DU123" s="183">
        <f t="shared" si="125"/>
        <v>0</v>
      </c>
      <c r="DV123" s="183">
        <f t="shared" si="125"/>
        <v>0</v>
      </c>
      <c r="DW123" s="183">
        <f t="shared" si="125"/>
        <v>0</v>
      </c>
      <c r="DX123" s="183">
        <f t="shared" si="125"/>
        <v>0</v>
      </c>
      <c r="DY123" s="183">
        <f t="shared" si="125"/>
        <v>0</v>
      </c>
      <c r="DZ123" s="183">
        <f t="shared" si="125"/>
        <v>0</v>
      </c>
      <c r="EA123" s="183">
        <f t="shared" si="125"/>
        <v>0</v>
      </c>
      <c r="EB123" s="183">
        <f t="shared" si="125"/>
        <v>0</v>
      </c>
      <c r="EC123" s="183">
        <f t="shared" si="125"/>
        <v>0</v>
      </c>
      <c r="ED123" s="183">
        <f t="shared" si="125"/>
        <v>0</v>
      </c>
      <c r="EE123" s="183">
        <f t="shared" si="125"/>
        <v>0</v>
      </c>
      <c r="EF123" s="183">
        <f t="shared" si="125"/>
        <v>0</v>
      </c>
      <c r="EG123" s="183">
        <f t="shared" si="125"/>
        <v>0</v>
      </c>
      <c r="EH123" s="183">
        <f t="shared" si="125"/>
        <v>0</v>
      </c>
      <c r="EI123" s="183">
        <f t="shared" ref="EI123:EN123" si="126">EI4+EI6+EI8+EI19+EI25+EI28+EI29+EI34+EI36+EI41+EI44+EI46+EI49+EI54+EI59+EI60+EI62+EI63+EI65+EI69+EI71+EI73+EI79+EI83+EI85</f>
        <v>0</v>
      </c>
      <c r="EJ123" s="183">
        <f t="shared" si="126"/>
        <v>0</v>
      </c>
      <c r="EK123" s="183">
        <f t="shared" si="126"/>
        <v>0</v>
      </c>
      <c r="EL123" s="183">
        <f t="shared" si="126"/>
        <v>0</v>
      </c>
      <c r="EM123" s="183">
        <f t="shared" si="126"/>
        <v>0</v>
      </c>
      <c r="EN123" s="183">
        <f t="shared" si="126"/>
        <v>0</v>
      </c>
    </row>
    <row r="124" spans="1:144" hidden="1" x14ac:dyDescent="0.25">
      <c r="C124" s="135" t="s">
        <v>157</v>
      </c>
      <c r="K124" s="167">
        <f t="shared" ref="K124:BV124" si="127">K28+K59+K62</f>
        <v>8773.44</v>
      </c>
      <c r="L124" s="260">
        <f t="shared" si="127"/>
        <v>898.62000000000012</v>
      </c>
      <c r="M124" s="167">
        <f t="shared" si="127"/>
        <v>2627996.2176000001</v>
      </c>
      <c r="N124" s="167">
        <f t="shared" si="127"/>
        <v>9235.2000000000007</v>
      </c>
      <c r="O124" s="167">
        <f t="shared" si="127"/>
        <v>5088.5951999999997</v>
      </c>
      <c r="P124" s="167">
        <f t="shared" si="127"/>
        <v>8427.119999999999</v>
      </c>
      <c r="Q124" s="167">
        <f t="shared" si="127"/>
        <v>15332</v>
      </c>
      <c r="R124" s="167">
        <f t="shared" si="127"/>
        <v>1.98</v>
      </c>
      <c r="S124" s="167">
        <f t="shared" si="127"/>
        <v>11652.32</v>
      </c>
      <c r="T124" s="167">
        <f t="shared" si="127"/>
        <v>12265.6</v>
      </c>
      <c r="U124" s="167">
        <f t="shared" si="127"/>
        <v>6758.3455999999996</v>
      </c>
      <c r="V124" s="167">
        <f t="shared" si="127"/>
        <v>11192.36</v>
      </c>
      <c r="W124" s="167">
        <f t="shared" si="127"/>
        <v>614.14080000000013</v>
      </c>
      <c r="X124" s="256">
        <f t="shared" si="127"/>
        <v>42</v>
      </c>
      <c r="Y124" s="167">
        <f t="shared" si="127"/>
        <v>8597.9712</v>
      </c>
      <c r="Z124" s="167">
        <f t="shared" si="127"/>
        <v>1764</v>
      </c>
      <c r="AA124" s="167">
        <f t="shared" si="127"/>
        <v>0</v>
      </c>
      <c r="AB124" s="167">
        <f t="shared" si="127"/>
        <v>4000</v>
      </c>
      <c r="AC124" s="167">
        <f t="shared" si="127"/>
        <v>1.4016052631578948</v>
      </c>
      <c r="AD124" s="167">
        <f t="shared" si="127"/>
        <v>6</v>
      </c>
      <c r="AE124" s="167">
        <f t="shared" si="127"/>
        <v>1638</v>
      </c>
      <c r="AF124" s="167">
        <f t="shared" si="127"/>
        <v>1.3119999999999998</v>
      </c>
      <c r="AG124" s="167">
        <f t="shared" si="127"/>
        <v>2217</v>
      </c>
      <c r="AH124" s="167">
        <f t="shared" si="127"/>
        <v>1.63</v>
      </c>
      <c r="AI124" s="167">
        <f t="shared" si="127"/>
        <v>1662.75</v>
      </c>
      <c r="AJ124" s="260">
        <f t="shared" si="127"/>
        <v>897.42</v>
      </c>
      <c r="AK124" s="167">
        <f t="shared" si="127"/>
        <v>497395.03499999997</v>
      </c>
      <c r="AL124" s="167">
        <f t="shared" si="127"/>
        <v>1795.77</v>
      </c>
      <c r="AM124" s="167">
        <f t="shared" si="127"/>
        <v>1097.415</v>
      </c>
      <c r="AN124" s="167">
        <f t="shared" si="127"/>
        <v>1884.4499999999998</v>
      </c>
      <c r="AO124" s="167">
        <f t="shared" si="127"/>
        <v>2473</v>
      </c>
      <c r="AP124" s="167">
        <f t="shared" si="127"/>
        <v>1.8399999999999999</v>
      </c>
      <c r="AQ124" s="167">
        <f t="shared" si="127"/>
        <v>1854.75</v>
      </c>
      <c r="AR124" s="167">
        <f t="shared" si="127"/>
        <v>2003.13</v>
      </c>
      <c r="AS124" s="167">
        <f t="shared" si="127"/>
        <v>1261.23</v>
      </c>
      <c r="AT124" s="167">
        <f t="shared" si="127"/>
        <v>2176.2399999999998</v>
      </c>
      <c r="AU124" s="167">
        <f t="shared" si="127"/>
        <v>1042</v>
      </c>
      <c r="AV124" s="167">
        <f t="shared" si="127"/>
        <v>9100</v>
      </c>
      <c r="AW124" s="167">
        <f t="shared" si="127"/>
        <v>0.35830346475507768</v>
      </c>
      <c r="AX124" s="167">
        <f t="shared" si="127"/>
        <v>2</v>
      </c>
      <c r="AY124" s="167">
        <f t="shared" si="127"/>
        <v>1172</v>
      </c>
      <c r="AZ124" s="167">
        <f t="shared" si="127"/>
        <v>0.4</v>
      </c>
      <c r="BA124" s="167">
        <f t="shared" si="127"/>
        <v>1250</v>
      </c>
      <c r="BB124" s="167">
        <f t="shared" si="127"/>
        <v>0.42592592592592593</v>
      </c>
      <c r="BC124" s="167">
        <f t="shared" si="127"/>
        <v>875</v>
      </c>
      <c r="BD124" s="256">
        <f t="shared" si="127"/>
        <v>816.78</v>
      </c>
      <c r="BE124" s="167">
        <f t="shared" si="127"/>
        <v>238227.5</v>
      </c>
      <c r="BF124" s="167">
        <f t="shared" si="127"/>
        <v>900</v>
      </c>
      <c r="BG124" s="167">
        <f t="shared" si="127"/>
        <v>603.75</v>
      </c>
      <c r="BH124" s="167">
        <f t="shared" si="127"/>
        <v>1037.5</v>
      </c>
      <c r="BI124" s="167">
        <f t="shared" si="127"/>
        <v>1281</v>
      </c>
      <c r="BJ124" s="167">
        <f t="shared" si="127"/>
        <v>0.43592592592592594</v>
      </c>
      <c r="BK124" s="167">
        <f t="shared" si="127"/>
        <v>909.51</v>
      </c>
      <c r="BL124" s="167">
        <f t="shared" si="127"/>
        <v>922.31999999999994</v>
      </c>
      <c r="BM124" s="167">
        <f t="shared" si="127"/>
        <v>627.56189999999992</v>
      </c>
      <c r="BN124" s="167">
        <f t="shared" si="127"/>
        <v>1063.23</v>
      </c>
      <c r="BO124" s="167">
        <f t="shared" si="127"/>
        <v>0</v>
      </c>
      <c r="BP124" s="167">
        <f t="shared" si="127"/>
        <v>0</v>
      </c>
      <c r="BQ124" s="167">
        <f t="shared" si="127"/>
        <v>0</v>
      </c>
      <c r="BR124" s="167">
        <f t="shared" si="127"/>
        <v>0</v>
      </c>
      <c r="BS124" s="167">
        <f t="shared" si="127"/>
        <v>61.100000000000009</v>
      </c>
      <c r="BT124" s="167">
        <f t="shared" si="127"/>
        <v>32</v>
      </c>
      <c r="BU124" s="167">
        <f t="shared" si="127"/>
        <v>20</v>
      </c>
      <c r="BV124" s="167">
        <f t="shared" si="127"/>
        <v>0</v>
      </c>
      <c r="BW124" s="167">
        <f t="shared" ref="BW124:EH124" si="128">BW28+BW59+BW62</f>
        <v>0</v>
      </c>
      <c r="BX124" s="167">
        <f t="shared" si="128"/>
        <v>0</v>
      </c>
      <c r="BY124" s="256">
        <f t="shared" si="128"/>
        <v>385.36</v>
      </c>
      <c r="BZ124" s="167">
        <f t="shared" si="128"/>
        <v>0</v>
      </c>
      <c r="CA124" s="167">
        <f t="shared" si="128"/>
        <v>0</v>
      </c>
      <c r="CB124" s="167">
        <f t="shared" si="128"/>
        <v>0</v>
      </c>
      <c r="CC124" s="167">
        <f t="shared" si="128"/>
        <v>0</v>
      </c>
      <c r="CD124" s="167">
        <f t="shared" si="128"/>
        <v>0</v>
      </c>
      <c r="CE124" s="167">
        <f t="shared" si="128"/>
        <v>0</v>
      </c>
      <c r="CF124" s="167">
        <f t="shared" si="128"/>
        <v>0</v>
      </c>
      <c r="CG124" s="167">
        <f t="shared" si="128"/>
        <v>0</v>
      </c>
      <c r="CH124" s="167">
        <f t="shared" si="128"/>
        <v>0</v>
      </c>
      <c r="CI124" s="167">
        <f t="shared" si="128"/>
        <v>200</v>
      </c>
      <c r="CJ124" s="256">
        <f t="shared" si="128"/>
        <v>1351</v>
      </c>
      <c r="CK124" s="167">
        <f t="shared" si="128"/>
        <v>270200</v>
      </c>
      <c r="CL124" s="167" t="e">
        <f t="shared" si="128"/>
        <v>#VALUE!</v>
      </c>
      <c r="CM124" s="167">
        <f t="shared" si="128"/>
        <v>4320</v>
      </c>
      <c r="CN124" s="167">
        <f t="shared" si="128"/>
        <v>327712</v>
      </c>
      <c r="CO124" s="167">
        <f t="shared" si="128"/>
        <v>13</v>
      </c>
      <c r="CP124" s="256">
        <f t="shared" si="128"/>
        <v>6749.37</v>
      </c>
      <c r="CQ124" s="167">
        <f t="shared" si="128"/>
        <v>29247.27</v>
      </c>
      <c r="CR124" s="167">
        <f t="shared" si="128"/>
        <v>0</v>
      </c>
      <c r="CS124" s="256">
        <f t="shared" si="128"/>
        <v>1336.53</v>
      </c>
      <c r="CT124" s="167">
        <f t="shared" si="128"/>
        <v>0</v>
      </c>
      <c r="CU124" s="167">
        <f t="shared" si="128"/>
        <v>0</v>
      </c>
      <c r="CV124" s="256">
        <f t="shared" si="128"/>
        <v>6749.37</v>
      </c>
      <c r="CW124" s="167">
        <f t="shared" si="128"/>
        <v>0</v>
      </c>
      <c r="CX124" s="167">
        <f t="shared" si="128"/>
        <v>0</v>
      </c>
      <c r="CY124" s="256">
        <f t="shared" si="128"/>
        <v>6749.37</v>
      </c>
      <c r="CZ124" s="167">
        <f t="shared" si="128"/>
        <v>0</v>
      </c>
      <c r="DA124" s="167">
        <f t="shared" si="128"/>
        <v>0</v>
      </c>
      <c r="DB124" s="256">
        <f t="shared" si="128"/>
        <v>1392.78</v>
      </c>
      <c r="DC124" s="167">
        <f t="shared" si="128"/>
        <v>0</v>
      </c>
      <c r="DD124" s="167">
        <f t="shared" si="128"/>
        <v>0</v>
      </c>
      <c r="DE124" s="167">
        <f t="shared" si="128"/>
        <v>6749.37</v>
      </c>
      <c r="DF124" s="167">
        <f t="shared" si="128"/>
        <v>0</v>
      </c>
      <c r="DG124" s="167">
        <f t="shared" si="128"/>
        <v>0</v>
      </c>
      <c r="DH124" s="167">
        <f t="shared" si="128"/>
        <v>6749.37</v>
      </c>
      <c r="DI124" s="167">
        <f t="shared" si="128"/>
        <v>0</v>
      </c>
      <c r="DJ124" s="167">
        <f t="shared" si="128"/>
        <v>0</v>
      </c>
      <c r="DK124" s="167">
        <f t="shared" si="128"/>
        <v>1512.78</v>
      </c>
      <c r="DL124" s="167">
        <f t="shared" si="128"/>
        <v>0</v>
      </c>
      <c r="DM124" s="167">
        <f t="shared" si="128"/>
        <v>0</v>
      </c>
      <c r="DN124" s="167">
        <f t="shared" si="128"/>
        <v>6749.37</v>
      </c>
      <c r="DO124" s="167">
        <f t="shared" si="128"/>
        <v>0</v>
      </c>
      <c r="DP124" s="167">
        <f t="shared" si="128"/>
        <v>0</v>
      </c>
      <c r="DQ124" s="167">
        <f t="shared" si="128"/>
        <v>0</v>
      </c>
      <c r="DR124" s="167">
        <f t="shared" si="128"/>
        <v>0</v>
      </c>
      <c r="DS124" s="167">
        <f t="shared" si="128"/>
        <v>0</v>
      </c>
      <c r="DT124" s="167">
        <f t="shared" si="128"/>
        <v>0</v>
      </c>
      <c r="DU124" s="167">
        <f t="shared" si="128"/>
        <v>0</v>
      </c>
      <c r="DV124" s="167">
        <f t="shared" si="128"/>
        <v>0</v>
      </c>
      <c r="DW124" s="167">
        <f t="shared" si="128"/>
        <v>0</v>
      </c>
      <c r="DX124" s="167">
        <f t="shared" si="128"/>
        <v>0</v>
      </c>
      <c r="DY124" s="167">
        <f t="shared" si="128"/>
        <v>0</v>
      </c>
      <c r="DZ124" s="167">
        <f t="shared" si="128"/>
        <v>0</v>
      </c>
      <c r="EA124" s="167">
        <f t="shared" si="128"/>
        <v>0</v>
      </c>
      <c r="EB124" s="167">
        <f t="shared" si="128"/>
        <v>0</v>
      </c>
      <c r="EC124" s="167">
        <f t="shared" si="128"/>
        <v>0</v>
      </c>
      <c r="ED124" s="167">
        <f t="shared" si="128"/>
        <v>0</v>
      </c>
      <c r="EE124" s="167">
        <f t="shared" si="128"/>
        <v>0</v>
      </c>
      <c r="EF124" s="167">
        <f t="shared" si="128"/>
        <v>0</v>
      </c>
      <c r="EG124" s="167">
        <f t="shared" si="128"/>
        <v>0</v>
      </c>
      <c r="EH124" s="167">
        <f t="shared" si="128"/>
        <v>0</v>
      </c>
      <c r="EI124" s="167">
        <f t="shared" ref="EI124:EM124" si="129">EI28+EI59+EI62</f>
        <v>0</v>
      </c>
      <c r="EJ124" s="167">
        <f t="shared" si="129"/>
        <v>0</v>
      </c>
      <c r="EK124" s="167">
        <f t="shared" si="129"/>
        <v>0</v>
      </c>
      <c r="EL124" s="167">
        <f t="shared" si="129"/>
        <v>0</v>
      </c>
      <c r="EM124" s="167">
        <f t="shared" si="129"/>
        <v>0</v>
      </c>
      <c r="EN124" s="167"/>
    </row>
    <row r="125" spans="1:144" hidden="1" x14ac:dyDescent="0.25">
      <c r="C125" s="130" t="s">
        <v>155</v>
      </c>
      <c r="K125" s="167" t="e">
        <f>#REF!+#REF!+#REF!+#REF!</f>
        <v>#REF!</v>
      </c>
      <c r="L125" s="260" t="e">
        <f>#REF!+#REF!+#REF!+#REF!</f>
        <v>#REF!</v>
      </c>
      <c r="M125" s="167" t="e">
        <f>#REF!+#REF!+#REF!+#REF!</f>
        <v>#REF!</v>
      </c>
      <c r="N125" s="167" t="e">
        <f>#REF!+#REF!+#REF!+#REF!</f>
        <v>#REF!</v>
      </c>
      <c r="O125" s="167" t="e">
        <f>#REF!+#REF!+#REF!+#REF!</f>
        <v>#REF!</v>
      </c>
      <c r="P125" s="167" t="e">
        <f>#REF!+#REF!+#REF!+#REF!</f>
        <v>#REF!</v>
      </c>
      <c r="Q125" s="167" t="e">
        <f>#REF!+#REF!+#REF!+#REF!</f>
        <v>#REF!</v>
      </c>
      <c r="R125" s="167" t="e">
        <f>#REF!+#REF!+#REF!+#REF!</f>
        <v>#REF!</v>
      </c>
      <c r="S125" s="167" t="e">
        <f>#REF!+#REF!+#REF!+#REF!</f>
        <v>#REF!</v>
      </c>
      <c r="T125" s="167" t="e">
        <f>#REF!+#REF!+#REF!+#REF!</f>
        <v>#REF!</v>
      </c>
      <c r="U125" s="167" t="e">
        <f>#REF!+#REF!+#REF!+#REF!</f>
        <v>#REF!</v>
      </c>
      <c r="V125" s="167" t="e">
        <f>#REF!+#REF!+#REF!+#REF!</f>
        <v>#REF!</v>
      </c>
      <c r="W125" s="167" t="e">
        <f>#REF!+#REF!+#REF!+#REF!</f>
        <v>#REF!</v>
      </c>
      <c r="X125" s="256" t="e">
        <f>#REF!+#REF!+#REF!+#REF!</f>
        <v>#REF!</v>
      </c>
      <c r="Y125" s="167" t="e">
        <f>#REF!+#REF!+#REF!+#REF!</f>
        <v>#REF!</v>
      </c>
      <c r="Z125" s="167" t="e">
        <f>#REF!+#REF!+#REF!+#REF!</f>
        <v>#REF!</v>
      </c>
      <c r="AA125" s="167" t="e">
        <f>#REF!+#REF!+#REF!+#REF!</f>
        <v>#REF!</v>
      </c>
      <c r="AB125" s="167" t="e">
        <f>#REF!+#REF!+#REF!+#REF!</f>
        <v>#REF!</v>
      </c>
      <c r="AC125" s="167" t="e">
        <f>#REF!+#REF!+#REF!+#REF!</f>
        <v>#REF!</v>
      </c>
      <c r="AD125" s="167" t="e">
        <f>#REF!+#REF!+#REF!+#REF!</f>
        <v>#REF!</v>
      </c>
      <c r="AE125" s="167" t="e">
        <f>#REF!+#REF!+#REF!+#REF!</f>
        <v>#REF!</v>
      </c>
      <c r="AF125" s="167" t="e">
        <f>#REF!+#REF!+#REF!+#REF!</f>
        <v>#REF!</v>
      </c>
      <c r="AG125" s="167" t="e">
        <f>#REF!+#REF!+#REF!+#REF!</f>
        <v>#REF!</v>
      </c>
      <c r="AH125" s="167" t="e">
        <f>#REF!+#REF!+#REF!+#REF!</f>
        <v>#REF!</v>
      </c>
      <c r="AI125" s="167" t="e">
        <f>#REF!+#REF!+#REF!+#REF!</f>
        <v>#REF!</v>
      </c>
      <c r="AJ125" s="260" t="e">
        <f>#REF!+#REF!+#REF!+#REF!</f>
        <v>#REF!</v>
      </c>
      <c r="AK125" s="167" t="e">
        <f>#REF!+#REF!+#REF!+#REF!</f>
        <v>#REF!</v>
      </c>
      <c r="AL125" s="167" t="e">
        <f>#REF!+#REF!+#REF!+#REF!</f>
        <v>#REF!</v>
      </c>
      <c r="AM125" s="167" t="e">
        <f>#REF!+#REF!+#REF!+#REF!</f>
        <v>#REF!</v>
      </c>
      <c r="AN125" s="167" t="e">
        <f>#REF!+#REF!+#REF!+#REF!</f>
        <v>#REF!</v>
      </c>
      <c r="AO125" s="167" t="e">
        <f>#REF!+#REF!+#REF!+#REF!</f>
        <v>#REF!</v>
      </c>
      <c r="AP125" s="167" t="e">
        <f>#REF!+#REF!+#REF!+#REF!</f>
        <v>#REF!</v>
      </c>
      <c r="AQ125" s="167" t="e">
        <f>#REF!+#REF!+#REF!+#REF!</f>
        <v>#REF!</v>
      </c>
      <c r="AR125" s="167" t="e">
        <f>#REF!+#REF!+#REF!+#REF!</f>
        <v>#REF!</v>
      </c>
      <c r="AS125" s="167" t="e">
        <f>#REF!+#REF!+#REF!+#REF!</f>
        <v>#REF!</v>
      </c>
      <c r="AT125" s="167" t="e">
        <f>#REF!+#REF!+#REF!+#REF!</f>
        <v>#REF!</v>
      </c>
      <c r="AU125" s="167" t="e">
        <f>#REF!+#REF!+#REF!+#REF!</f>
        <v>#REF!</v>
      </c>
      <c r="AV125" s="167" t="e">
        <f>#REF!+#REF!+#REF!+#REF!</f>
        <v>#REF!</v>
      </c>
      <c r="AW125" s="167" t="e">
        <f>#REF!+#REF!+#REF!+#REF!</f>
        <v>#REF!</v>
      </c>
      <c r="AX125" s="167" t="e">
        <f>#REF!+#REF!+#REF!+#REF!</f>
        <v>#REF!</v>
      </c>
      <c r="AY125" s="167" t="e">
        <f>#REF!+#REF!+#REF!+#REF!</f>
        <v>#REF!</v>
      </c>
      <c r="AZ125" s="167" t="e">
        <f>#REF!+#REF!+#REF!+#REF!</f>
        <v>#REF!</v>
      </c>
      <c r="BA125" s="167" t="e">
        <f>#REF!+#REF!+#REF!+#REF!</f>
        <v>#REF!</v>
      </c>
      <c r="BB125" s="167" t="e">
        <f>#REF!+#REF!+#REF!+#REF!</f>
        <v>#REF!</v>
      </c>
      <c r="BC125" s="167" t="e">
        <f>#REF!+#REF!+#REF!+#REF!</f>
        <v>#REF!</v>
      </c>
      <c r="BD125" s="256" t="e">
        <f>#REF!+#REF!+#REF!+#REF!</f>
        <v>#REF!</v>
      </c>
      <c r="BE125" s="167" t="e">
        <f>#REF!+#REF!+#REF!+#REF!</f>
        <v>#REF!</v>
      </c>
      <c r="BF125" s="167" t="e">
        <f>#REF!+#REF!+#REF!+#REF!</f>
        <v>#REF!</v>
      </c>
      <c r="BG125" s="167" t="e">
        <f>#REF!+#REF!+#REF!+#REF!</f>
        <v>#REF!</v>
      </c>
      <c r="BH125" s="167" t="e">
        <f>#REF!+#REF!+#REF!+#REF!</f>
        <v>#REF!</v>
      </c>
      <c r="BI125" s="167" t="e">
        <f>#REF!+#REF!+#REF!+#REF!</f>
        <v>#REF!</v>
      </c>
      <c r="BJ125" s="167" t="e">
        <f>#REF!+#REF!+#REF!+#REF!</f>
        <v>#REF!</v>
      </c>
      <c r="BK125" s="167" t="e">
        <f>#REF!+#REF!+#REF!+#REF!</f>
        <v>#REF!</v>
      </c>
      <c r="BL125" s="167" t="e">
        <f>#REF!+#REF!+#REF!+#REF!</f>
        <v>#REF!</v>
      </c>
      <c r="BM125" s="167" t="e">
        <f>#REF!+#REF!+#REF!+#REF!</f>
        <v>#REF!</v>
      </c>
      <c r="BN125" s="167" t="e">
        <f>#REF!+#REF!+#REF!+#REF!</f>
        <v>#REF!</v>
      </c>
      <c r="BO125" s="167" t="e">
        <f>#REF!+#REF!+#REF!+#REF!</f>
        <v>#REF!</v>
      </c>
      <c r="BP125" s="167" t="e">
        <f>#REF!+#REF!+#REF!+#REF!</f>
        <v>#REF!</v>
      </c>
      <c r="BQ125" s="167" t="e">
        <f>#REF!+#REF!+#REF!+#REF!</f>
        <v>#REF!</v>
      </c>
      <c r="BR125" s="167" t="e">
        <f>#REF!+#REF!+#REF!+#REF!</f>
        <v>#REF!</v>
      </c>
      <c r="BS125" s="167" t="e">
        <f>#REF!+#REF!+#REF!+#REF!</f>
        <v>#REF!</v>
      </c>
      <c r="BT125" s="167" t="e">
        <f>#REF!+#REF!+#REF!+#REF!</f>
        <v>#REF!</v>
      </c>
      <c r="BU125" s="167" t="e">
        <f>#REF!+#REF!+#REF!+#REF!</f>
        <v>#REF!</v>
      </c>
      <c r="BV125" s="167" t="e">
        <f>#REF!+#REF!+#REF!+#REF!</f>
        <v>#REF!</v>
      </c>
      <c r="BW125" s="167" t="e">
        <f>#REF!+#REF!+#REF!+#REF!</f>
        <v>#REF!</v>
      </c>
      <c r="BX125" s="167" t="e">
        <f>#REF!+#REF!+#REF!+#REF!</f>
        <v>#REF!</v>
      </c>
      <c r="BY125" s="256" t="e">
        <f>#REF!+#REF!+#REF!+#REF!</f>
        <v>#REF!</v>
      </c>
      <c r="BZ125" s="167" t="e">
        <f>#REF!+#REF!+#REF!+#REF!</f>
        <v>#REF!</v>
      </c>
      <c r="CA125" s="167" t="e">
        <f>#REF!+#REF!+#REF!+#REF!</f>
        <v>#REF!</v>
      </c>
      <c r="CB125" s="167" t="e">
        <f>#REF!+#REF!+#REF!+#REF!</f>
        <v>#REF!</v>
      </c>
      <c r="CC125" s="167" t="e">
        <f>#REF!+#REF!+#REF!+#REF!</f>
        <v>#REF!</v>
      </c>
      <c r="CD125" s="167" t="e">
        <f>#REF!+#REF!+#REF!+#REF!</f>
        <v>#REF!</v>
      </c>
      <c r="CE125" s="167" t="e">
        <f>#REF!+#REF!+#REF!+#REF!</f>
        <v>#REF!</v>
      </c>
      <c r="CF125" s="167" t="e">
        <f>#REF!+#REF!+#REF!+#REF!</f>
        <v>#REF!</v>
      </c>
      <c r="CG125" s="167" t="e">
        <f>#REF!+#REF!+#REF!+#REF!</f>
        <v>#REF!</v>
      </c>
      <c r="CH125" s="167" t="e">
        <f>#REF!+#REF!+#REF!+#REF!</f>
        <v>#REF!</v>
      </c>
      <c r="CI125" s="167" t="e">
        <f>#REF!+#REF!+#REF!+#REF!</f>
        <v>#REF!</v>
      </c>
      <c r="CJ125" s="256" t="e">
        <f>#REF!+#REF!+#REF!+#REF!</f>
        <v>#REF!</v>
      </c>
      <c r="CK125" s="167" t="e">
        <f>#REF!+#REF!+#REF!+#REF!</f>
        <v>#REF!</v>
      </c>
      <c r="CL125" s="167" t="e">
        <f>#REF!+#REF!+#REF!+#REF!</f>
        <v>#REF!</v>
      </c>
      <c r="CM125" s="167" t="e">
        <f>#REF!+#REF!+#REF!+#REF!</f>
        <v>#REF!</v>
      </c>
      <c r="CN125" s="167" t="e">
        <f>#REF!+#REF!+#REF!+#REF!</f>
        <v>#REF!</v>
      </c>
      <c r="CO125" s="167" t="e">
        <f>#REF!+#REF!+#REF!+#REF!</f>
        <v>#REF!</v>
      </c>
      <c r="CP125" s="256" t="e">
        <f>#REF!+#REF!+#REF!+#REF!</f>
        <v>#REF!</v>
      </c>
      <c r="CQ125" s="167" t="e">
        <f>#REF!+#REF!+#REF!+#REF!</f>
        <v>#REF!</v>
      </c>
      <c r="CR125" s="167" t="e">
        <f>#REF!+#REF!+#REF!+#REF!</f>
        <v>#REF!</v>
      </c>
      <c r="CS125" s="256" t="e">
        <f>#REF!+#REF!+#REF!+#REF!</f>
        <v>#REF!</v>
      </c>
      <c r="CT125" s="167" t="e">
        <f>#REF!+#REF!+#REF!+#REF!</f>
        <v>#REF!</v>
      </c>
      <c r="CU125" s="167" t="e">
        <f>#REF!+#REF!+#REF!+#REF!</f>
        <v>#REF!</v>
      </c>
      <c r="CV125" s="256" t="e">
        <f>#REF!+#REF!+#REF!+#REF!</f>
        <v>#REF!</v>
      </c>
      <c r="CW125" s="167" t="e">
        <f>#REF!+#REF!+#REF!+#REF!</f>
        <v>#REF!</v>
      </c>
      <c r="CX125" s="167" t="e">
        <f>#REF!+#REF!+#REF!+#REF!</f>
        <v>#REF!</v>
      </c>
      <c r="CY125" s="256" t="e">
        <f>#REF!+#REF!+#REF!+#REF!</f>
        <v>#REF!</v>
      </c>
      <c r="CZ125" s="167" t="e">
        <f>#REF!+#REF!+#REF!+#REF!</f>
        <v>#REF!</v>
      </c>
      <c r="DA125" s="167" t="e">
        <f>#REF!+#REF!+#REF!+#REF!</f>
        <v>#REF!</v>
      </c>
      <c r="DB125" s="256" t="e">
        <f>#REF!+#REF!+#REF!+#REF!</f>
        <v>#REF!</v>
      </c>
      <c r="DC125" s="167" t="e">
        <f>#REF!+#REF!+#REF!+#REF!</f>
        <v>#REF!</v>
      </c>
      <c r="DD125" s="167" t="e">
        <f>#REF!+#REF!+#REF!+#REF!</f>
        <v>#REF!</v>
      </c>
      <c r="DE125" s="167" t="e">
        <f>#REF!+#REF!+#REF!+#REF!</f>
        <v>#REF!</v>
      </c>
      <c r="DF125" s="167" t="e">
        <f>#REF!+#REF!+#REF!+#REF!</f>
        <v>#REF!</v>
      </c>
      <c r="DG125" s="167" t="e">
        <f>#REF!+#REF!+#REF!+#REF!</f>
        <v>#REF!</v>
      </c>
      <c r="DH125" s="167" t="e">
        <f>#REF!+#REF!+#REF!+#REF!</f>
        <v>#REF!</v>
      </c>
      <c r="DI125" s="167" t="e">
        <f>#REF!+#REF!+#REF!+#REF!</f>
        <v>#REF!</v>
      </c>
      <c r="DJ125" s="167" t="e">
        <f>#REF!+#REF!+#REF!+#REF!</f>
        <v>#REF!</v>
      </c>
      <c r="DK125" s="167" t="e">
        <f>#REF!+#REF!+#REF!+#REF!</f>
        <v>#REF!</v>
      </c>
      <c r="DL125" s="167" t="e">
        <f>#REF!+#REF!+#REF!+#REF!</f>
        <v>#REF!</v>
      </c>
      <c r="DM125" s="167" t="e">
        <f>#REF!+#REF!+#REF!+#REF!</f>
        <v>#REF!</v>
      </c>
      <c r="DN125" s="167" t="e">
        <f>#REF!+#REF!+#REF!+#REF!</f>
        <v>#REF!</v>
      </c>
      <c r="DO125" s="167" t="e">
        <f>#REF!+#REF!+#REF!+#REF!</f>
        <v>#REF!</v>
      </c>
      <c r="DP125" s="167" t="e">
        <f>#REF!+#REF!+#REF!+#REF!</f>
        <v>#REF!</v>
      </c>
      <c r="DQ125" s="167" t="e">
        <f>#REF!+#REF!+#REF!+#REF!</f>
        <v>#REF!</v>
      </c>
      <c r="DR125" s="167" t="e">
        <f>#REF!+#REF!+#REF!+#REF!</f>
        <v>#REF!</v>
      </c>
      <c r="DS125" s="167" t="e">
        <f>#REF!+#REF!+#REF!+#REF!</f>
        <v>#REF!</v>
      </c>
      <c r="DT125" s="167" t="e">
        <f>#REF!+#REF!+#REF!+#REF!</f>
        <v>#REF!</v>
      </c>
      <c r="DU125" s="167" t="e">
        <f>#REF!+#REF!+#REF!+#REF!</f>
        <v>#REF!</v>
      </c>
      <c r="DV125" s="167" t="e">
        <f>#REF!+#REF!+#REF!+#REF!</f>
        <v>#REF!</v>
      </c>
      <c r="DW125" s="167" t="e">
        <f>#REF!+#REF!+#REF!+#REF!</f>
        <v>#REF!</v>
      </c>
      <c r="DX125" s="167" t="e">
        <f>#REF!+#REF!+#REF!+#REF!</f>
        <v>#REF!</v>
      </c>
      <c r="DY125" s="167" t="e">
        <f>#REF!+#REF!+#REF!+#REF!</f>
        <v>#REF!</v>
      </c>
      <c r="DZ125" s="167" t="e">
        <f>#REF!+#REF!+#REF!+#REF!</f>
        <v>#REF!</v>
      </c>
      <c r="EA125" s="167" t="e">
        <f>#REF!+#REF!+#REF!+#REF!</f>
        <v>#REF!</v>
      </c>
      <c r="EB125" s="167" t="e">
        <f>#REF!+#REF!+#REF!+#REF!</f>
        <v>#REF!</v>
      </c>
      <c r="EC125" s="167" t="e">
        <f>#REF!+#REF!+#REF!+#REF!</f>
        <v>#REF!</v>
      </c>
      <c r="ED125" s="167" t="e">
        <f>#REF!+#REF!+#REF!+#REF!</f>
        <v>#REF!</v>
      </c>
      <c r="EE125" s="167" t="e">
        <f>#REF!+#REF!+#REF!+#REF!</f>
        <v>#REF!</v>
      </c>
      <c r="EF125" s="167" t="e">
        <f>#REF!+#REF!+#REF!+#REF!</f>
        <v>#REF!</v>
      </c>
      <c r="EG125" s="167" t="e">
        <f>#REF!+#REF!+#REF!+#REF!</f>
        <v>#REF!</v>
      </c>
      <c r="EH125" s="167" t="e">
        <f>#REF!+#REF!+#REF!+#REF!</f>
        <v>#REF!</v>
      </c>
      <c r="EI125" s="167" t="e">
        <f>#REF!+#REF!+#REF!+#REF!</f>
        <v>#REF!</v>
      </c>
      <c r="EJ125" s="167" t="e">
        <f>#REF!+#REF!+#REF!+#REF!</f>
        <v>#REF!</v>
      </c>
      <c r="EK125" s="167" t="e">
        <f>#REF!+#REF!+#REF!+#REF!</f>
        <v>#REF!</v>
      </c>
      <c r="EL125" s="167" t="e">
        <f>#REF!+#REF!+#REF!+#REF!</f>
        <v>#REF!</v>
      </c>
      <c r="EM125" s="167" t="e">
        <f>#REF!+#REF!+#REF!+#REF!</f>
        <v>#REF!</v>
      </c>
      <c r="EN125" s="167" t="e">
        <f>#REF!+#REF!+#REF!+#REF!</f>
        <v>#REF!</v>
      </c>
    </row>
    <row r="126" spans="1:144" hidden="1" x14ac:dyDescent="0.25">
      <c r="C126" s="130" t="s">
        <v>156</v>
      </c>
      <c r="K126" s="167" t="e">
        <f>K123+K125</f>
        <v>#REF!</v>
      </c>
      <c r="L126" s="260" t="e">
        <f t="shared" ref="L126:BW126" si="130">L123+L125</f>
        <v>#REF!</v>
      </c>
      <c r="M126" s="167" t="e">
        <f t="shared" si="130"/>
        <v>#REF!</v>
      </c>
      <c r="N126" s="167" t="e">
        <f t="shared" si="130"/>
        <v>#REF!</v>
      </c>
      <c r="O126" s="167" t="e">
        <f t="shared" si="130"/>
        <v>#REF!</v>
      </c>
      <c r="P126" s="167" t="e">
        <f t="shared" si="130"/>
        <v>#REF!</v>
      </c>
      <c r="Q126" s="167" t="e">
        <f t="shared" si="130"/>
        <v>#REF!</v>
      </c>
      <c r="R126" s="167" t="e">
        <f t="shared" si="130"/>
        <v>#REF!</v>
      </c>
      <c r="S126" s="167" t="e">
        <f t="shared" si="130"/>
        <v>#REF!</v>
      </c>
      <c r="T126" s="167" t="e">
        <f t="shared" si="130"/>
        <v>#REF!</v>
      </c>
      <c r="U126" s="167" t="e">
        <f t="shared" si="130"/>
        <v>#REF!</v>
      </c>
      <c r="V126" s="167" t="e">
        <f t="shared" si="130"/>
        <v>#REF!</v>
      </c>
      <c r="W126" s="167" t="e">
        <f t="shared" si="130"/>
        <v>#REF!</v>
      </c>
      <c r="X126" s="256" t="e">
        <f t="shared" si="130"/>
        <v>#REF!</v>
      </c>
      <c r="Y126" s="167" t="e">
        <f t="shared" si="130"/>
        <v>#REF!</v>
      </c>
      <c r="Z126" s="167" t="e">
        <f t="shared" si="130"/>
        <v>#REF!</v>
      </c>
      <c r="AA126" s="167" t="e">
        <f t="shared" si="130"/>
        <v>#REF!</v>
      </c>
      <c r="AB126" s="167" t="e">
        <f t="shared" si="130"/>
        <v>#REF!</v>
      </c>
      <c r="AC126" s="167" t="e">
        <f t="shared" si="130"/>
        <v>#REF!</v>
      </c>
      <c r="AD126" s="167" t="e">
        <f t="shared" si="130"/>
        <v>#REF!</v>
      </c>
      <c r="AE126" s="167" t="e">
        <f t="shared" si="130"/>
        <v>#REF!</v>
      </c>
      <c r="AF126" s="167" t="e">
        <f t="shared" si="130"/>
        <v>#REF!</v>
      </c>
      <c r="AG126" s="167" t="e">
        <f t="shared" si="130"/>
        <v>#REF!</v>
      </c>
      <c r="AH126" s="167" t="e">
        <f t="shared" si="130"/>
        <v>#REF!</v>
      </c>
      <c r="AI126" s="167" t="e">
        <f t="shared" si="130"/>
        <v>#REF!</v>
      </c>
      <c r="AJ126" s="260" t="e">
        <f t="shared" si="130"/>
        <v>#REF!</v>
      </c>
      <c r="AK126" s="167" t="e">
        <f t="shared" si="130"/>
        <v>#REF!</v>
      </c>
      <c r="AL126" s="167" t="e">
        <f t="shared" si="130"/>
        <v>#REF!</v>
      </c>
      <c r="AM126" s="167" t="e">
        <f t="shared" si="130"/>
        <v>#REF!</v>
      </c>
      <c r="AN126" s="167" t="e">
        <f t="shared" si="130"/>
        <v>#REF!</v>
      </c>
      <c r="AO126" s="167" t="e">
        <f t="shared" si="130"/>
        <v>#REF!</v>
      </c>
      <c r="AP126" s="167" t="e">
        <f t="shared" si="130"/>
        <v>#REF!</v>
      </c>
      <c r="AQ126" s="167" t="e">
        <f t="shared" si="130"/>
        <v>#REF!</v>
      </c>
      <c r="AR126" s="167" t="e">
        <f t="shared" si="130"/>
        <v>#REF!</v>
      </c>
      <c r="AS126" s="167" t="e">
        <f t="shared" si="130"/>
        <v>#REF!</v>
      </c>
      <c r="AT126" s="167" t="e">
        <f t="shared" si="130"/>
        <v>#REF!</v>
      </c>
      <c r="AU126" s="167" t="e">
        <f t="shared" si="130"/>
        <v>#REF!</v>
      </c>
      <c r="AV126" s="167" t="e">
        <f t="shared" si="130"/>
        <v>#REF!</v>
      </c>
      <c r="AW126" s="167" t="e">
        <f t="shared" si="130"/>
        <v>#REF!</v>
      </c>
      <c r="AX126" s="167" t="e">
        <f t="shared" si="130"/>
        <v>#REF!</v>
      </c>
      <c r="AY126" s="167" t="e">
        <f t="shared" si="130"/>
        <v>#REF!</v>
      </c>
      <c r="AZ126" s="167" t="e">
        <f t="shared" si="130"/>
        <v>#REF!</v>
      </c>
      <c r="BA126" s="167" t="e">
        <f t="shared" si="130"/>
        <v>#REF!</v>
      </c>
      <c r="BB126" s="167" t="e">
        <f t="shared" si="130"/>
        <v>#REF!</v>
      </c>
      <c r="BC126" s="167" t="e">
        <f t="shared" si="130"/>
        <v>#REF!</v>
      </c>
      <c r="BD126" s="256" t="e">
        <f t="shared" si="130"/>
        <v>#REF!</v>
      </c>
      <c r="BE126" s="167" t="e">
        <f t="shared" si="130"/>
        <v>#REF!</v>
      </c>
      <c r="BF126" s="167" t="e">
        <f t="shared" si="130"/>
        <v>#REF!</v>
      </c>
      <c r="BG126" s="167" t="e">
        <f t="shared" si="130"/>
        <v>#REF!</v>
      </c>
      <c r="BH126" s="167" t="e">
        <f t="shared" si="130"/>
        <v>#REF!</v>
      </c>
      <c r="BI126" s="167" t="e">
        <f t="shared" si="130"/>
        <v>#REF!</v>
      </c>
      <c r="BJ126" s="167" t="e">
        <f t="shared" si="130"/>
        <v>#REF!</v>
      </c>
      <c r="BK126" s="167" t="e">
        <f t="shared" si="130"/>
        <v>#REF!</v>
      </c>
      <c r="BL126" s="167" t="e">
        <f t="shared" si="130"/>
        <v>#REF!</v>
      </c>
      <c r="BM126" s="167" t="e">
        <f t="shared" si="130"/>
        <v>#REF!</v>
      </c>
      <c r="BN126" s="167" t="e">
        <f t="shared" si="130"/>
        <v>#REF!</v>
      </c>
      <c r="BO126" s="167" t="e">
        <f t="shared" si="130"/>
        <v>#REF!</v>
      </c>
      <c r="BP126" s="167" t="e">
        <f t="shared" si="130"/>
        <v>#REF!</v>
      </c>
      <c r="BQ126" s="167" t="e">
        <f t="shared" si="130"/>
        <v>#REF!</v>
      </c>
      <c r="BR126" s="167" t="e">
        <f t="shared" si="130"/>
        <v>#REF!</v>
      </c>
      <c r="BS126" s="167" t="e">
        <f t="shared" si="130"/>
        <v>#REF!</v>
      </c>
      <c r="BT126" s="167" t="e">
        <f t="shared" si="130"/>
        <v>#REF!</v>
      </c>
      <c r="BU126" s="167" t="e">
        <f t="shared" si="130"/>
        <v>#REF!</v>
      </c>
      <c r="BV126" s="167" t="e">
        <f t="shared" si="130"/>
        <v>#REF!</v>
      </c>
      <c r="BW126" s="167" t="e">
        <f t="shared" si="130"/>
        <v>#REF!</v>
      </c>
      <c r="BX126" s="167" t="e">
        <f t="shared" ref="BX126:EI126" si="131">BX123+BX125</f>
        <v>#REF!</v>
      </c>
      <c r="BY126" s="256" t="e">
        <f t="shared" si="131"/>
        <v>#REF!</v>
      </c>
      <c r="BZ126" s="167" t="e">
        <f t="shared" si="131"/>
        <v>#REF!</v>
      </c>
      <c r="CA126" s="167" t="e">
        <f t="shared" si="131"/>
        <v>#REF!</v>
      </c>
      <c r="CB126" s="167" t="e">
        <f t="shared" si="131"/>
        <v>#REF!</v>
      </c>
      <c r="CC126" s="167" t="e">
        <f t="shared" si="131"/>
        <v>#REF!</v>
      </c>
      <c r="CD126" s="167" t="e">
        <f t="shared" si="131"/>
        <v>#REF!</v>
      </c>
      <c r="CE126" s="167" t="e">
        <f t="shared" si="131"/>
        <v>#REF!</v>
      </c>
      <c r="CF126" s="167" t="e">
        <f t="shared" si="131"/>
        <v>#REF!</v>
      </c>
      <c r="CG126" s="167" t="e">
        <f t="shared" si="131"/>
        <v>#REF!</v>
      </c>
      <c r="CH126" s="167" t="e">
        <f t="shared" si="131"/>
        <v>#REF!</v>
      </c>
      <c r="CI126" s="167" t="e">
        <f t="shared" si="131"/>
        <v>#REF!</v>
      </c>
      <c r="CJ126" s="256" t="e">
        <f t="shared" si="131"/>
        <v>#REF!</v>
      </c>
      <c r="CK126" s="167" t="e">
        <f t="shared" si="131"/>
        <v>#REF!</v>
      </c>
      <c r="CL126" s="167" t="e">
        <f t="shared" si="131"/>
        <v>#VALUE!</v>
      </c>
      <c r="CM126" s="167" t="e">
        <f t="shared" si="131"/>
        <v>#REF!</v>
      </c>
      <c r="CN126" s="167" t="e">
        <f t="shared" si="131"/>
        <v>#REF!</v>
      </c>
      <c r="CO126" s="167" t="e">
        <f t="shared" si="131"/>
        <v>#REF!</v>
      </c>
      <c r="CP126" s="256" t="e">
        <f t="shared" si="131"/>
        <v>#REF!</v>
      </c>
      <c r="CQ126" s="167" t="e">
        <f t="shared" si="131"/>
        <v>#REF!</v>
      </c>
      <c r="CR126" s="167" t="e">
        <f t="shared" si="131"/>
        <v>#REF!</v>
      </c>
      <c r="CS126" s="256" t="e">
        <f t="shared" si="131"/>
        <v>#REF!</v>
      </c>
      <c r="CT126" s="167" t="e">
        <f t="shared" si="131"/>
        <v>#REF!</v>
      </c>
      <c r="CU126" s="167" t="e">
        <f t="shared" si="131"/>
        <v>#REF!</v>
      </c>
      <c r="CV126" s="256" t="e">
        <f t="shared" si="131"/>
        <v>#REF!</v>
      </c>
      <c r="CW126" s="167" t="e">
        <f t="shared" si="131"/>
        <v>#REF!</v>
      </c>
      <c r="CX126" s="167" t="e">
        <f t="shared" si="131"/>
        <v>#REF!</v>
      </c>
      <c r="CY126" s="256" t="e">
        <f t="shared" si="131"/>
        <v>#REF!</v>
      </c>
      <c r="CZ126" s="167" t="e">
        <f t="shared" si="131"/>
        <v>#REF!</v>
      </c>
      <c r="DA126" s="167" t="e">
        <f t="shared" si="131"/>
        <v>#REF!</v>
      </c>
      <c r="DB126" s="256" t="e">
        <f t="shared" si="131"/>
        <v>#REF!</v>
      </c>
      <c r="DC126" s="167" t="e">
        <f t="shared" si="131"/>
        <v>#REF!</v>
      </c>
      <c r="DD126" s="167" t="e">
        <f t="shared" si="131"/>
        <v>#REF!</v>
      </c>
      <c r="DE126" s="167" t="e">
        <f t="shared" si="131"/>
        <v>#REF!</v>
      </c>
      <c r="DF126" s="167" t="e">
        <f t="shared" si="131"/>
        <v>#REF!</v>
      </c>
      <c r="DG126" s="167" t="e">
        <f t="shared" si="131"/>
        <v>#REF!</v>
      </c>
      <c r="DH126" s="167" t="e">
        <f t="shared" si="131"/>
        <v>#REF!</v>
      </c>
      <c r="DI126" s="167" t="e">
        <f t="shared" si="131"/>
        <v>#REF!</v>
      </c>
      <c r="DJ126" s="167" t="e">
        <f t="shared" si="131"/>
        <v>#REF!</v>
      </c>
      <c r="DK126" s="167" t="e">
        <f t="shared" si="131"/>
        <v>#REF!</v>
      </c>
      <c r="DL126" s="167" t="e">
        <f t="shared" si="131"/>
        <v>#REF!</v>
      </c>
      <c r="DM126" s="167" t="e">
        <f t="shared" si="131"/>
        <v>#REF!</v>
      </c>
      <c r="DN126" s="167" t="e">
        <f t="shared" si="131"/>
        <v>#REF!</v>
      </c>
      <c r="DO126" s="167" t="e">
        <f t="shared" si="131"/>
        <v>#REF!</v>
      </c>
      <c r="DP126" s="167" t="e">
        <f t="shared" si="131"/>
        <v>#REF!</v>
      </c>
      <c r="DQ126" s="167" t="e">
        <f t="shared" si="131"/>
        <v>#REF!</v>
      </c>
      <c r="DR126" s="167" t="e">
        <f t="shared" si="131"/>
        <v>#REF!</v>
      </c>
      <c r="DS126" s="167" t="e">
        <f t="shared" si="131"/>
        <v>#REF!</v>
      </c>
      <c r="DT126" s="167" t="e">
        <f t="shared" si="131"/>
        <v>#REF!</v>
      </c>
      <c r="DU126" s="167" t="e">
        <f t="shared" si="131"/>
        <v>#REF!</v>
      </c>
      <c r="DV126" s="167" t="e">
        <f t="shared" si="131"/>
        <v>#REF!</v>
      </c>
      <c r="DW126" s="167" t="e">
        <f t="shared" si="131"/>
        <v>#REF!</v>
      </c>
      <c r="DX126" s="167" t="e">
        <f t="shared" si="131"/>
        <v>#REF!</v>
      </c>
      <c r="DY126" s="167" t="e">
        <f t="shared" si="131"/>
        <v>#REF!</v>
      </c>
      <c r="DZ126" s="167" t="e">
        <f t="shared" si="131"/>
        <v>#REF!</v>
      </c>
      <c r="EA126" s="167" t="e">
        <f t="shared" si="131"/>
        <v>#REF!</v>
      </c>
      <c r="EB126" s="167" t="e">
        <f t="shared" si="131"/>
        <v>#REF!</v>
      </c>
      <c r="EC126" s="167" t="e">
        <f t="shared" si="131"/>
        <v>#REF!</v>
      </c>
      <c r="ED126" s="167" t="e">
        <f t="shared" si="131"/>
        <v>#REF!</v>
      </c>
      <c r="EE126" s="167" t="e">
        <f t="shared" si="131"/>
        <v>#REF!</v>
      </c>
      <c r="EF126" s="167" t="e">
        <f t="shared" si="131"/>
        <v>#REF!</v>
      </c>
      <c r="EG126" s="167" t="e">
        <f t="shared" si="131"/>
        <v>#REF!</v>
      </c>
      <c r="EH126" s="167" t="e">
        <f t="shared" si="131"/>
        <v>#REF!</v>
      </c>
      <c r="EI126" s="167" t="e">
        <f t="shared" si="131"/>
        <v>#REF!</v>
      </c>
      <c r="EJ126" s="167" t="e">
        <f t="shared" ref="EJ126:EN126" si="132">EJ123+EJ125</f>
        <v>#REF!</v>
      </c>
      <c r="EK126" s="167" t="e">
        <f t="shared" si="132"/>
        <v>#REF!</v>
      </c>
      <c r="EL126" s="167" t="e">
        <f t="shared" si="132"/>
        <v>#REF!</v>
      </c>
      <c r="EM126" s="167" t="e">
        <f t="shared" si="132"/>
        <v>#REF!</v>
      </c>
      <c r="EN126" s="167" t="e">
        <f t="shared" si="132"/>
        <v>#REF!</v>
      </c>
    </row>
    <row r="127" spans="1:144" hidden="1" x14ac:dyDescent="0.25">
      <c r="A127" s="142"/>
      <c r="K127" s="176"/>
    </row>
    <row r="128" spans="1:144" hidden="1" x14ac:dyDescent="0.25"/>
    <row r="129" spans="1:106" hidden="1" x14ac:dyDescent="0.25"/>
    <row r="130" spans="1:106" hidden="1" x14ac:dyDescent="0.25"/>
    <row r="131" spans="1:106" hidden="1" x14ac:dyDescent="0.25"/>
    <row r="132" spans="1:106" hidden="1" x14ac:dyDescent="0.25"/>
    <row r="133" spans="1:106" hidden="1" x14ac:dyDescent="0.25"/>
    <row r="134" spans="1:106" hidden="1" x14ac:dyDescent="0.25"/>
    <row r="135" spans="1:106" hidden="1" x14ac:dyDescent="0.25"/>
    <row r="136" spans="1:106" hidden="1" x14ac:dyDescent="0.25"/>
    <row r="137" spans="1:106" hidden="1" x14ac:dyDescent="0.25"/>
    <row r="138" spans="1:106" hidden="1" x14ac:dyDescent="0.25"/>
    <row r="139" spans="1:106" hidden="1" x14ac:dyDescent="0.25"/>
    <row r="140" spans="1:106" hidden="1" x14ac:dyDescent="0.25"/>
    <row r="141" spans="1:106" hidden="1" x14ac:dyDescent="0.25"/>
    <row r="142" spans="1:106" hidden="1" x14ac:dyDescent="0.25"/>
    <row r="143" spans="1:106" s="144" customFormat="1" x14ac:dyDescent="0.25">
      <c r="A143" s="181"/>
      <c r="C143" s="133"/>
      <c r="L143" s="260"/>
      <c r="X143" s="260"/>
      <c r="Y143" s="170"/>
      <c r="AJ143" s="260"/>
      <c r="BD143" s="260"/>
      <c r="BY143" s="260"/>
      <c r="CJ143" s="260"/>
      <c r="CN143" s="170"/>
      <c r="CP143" s="260"/>
      <c r="CS143" s="260"/>
      <c r="CV143" s="260"/>
      <c r="CY143" s="260"/>
      <c r="DB143" s="260"/>
    </row>
    <row r="144" spans="1:106" s="144" customFormat="1" ht="18" customHeight="1" x14ac:dyDescent="0.25">
      <c r="A144" s="181"/>
      <c r="C144" s="133"/>
      <c r="L144" s="260"/>
      <c r="X144" s="260"/>
      <c r="Y144" s="170"/>
      <c r="AJ144" s="260"/>
      <c r="BD144" s="260"/>
      <c r="BY144" s="260"/>
      <c r="CJ144" s="260"/>
      <c r="CN144" s="170"/>
      <c r="CP144" s="260"/>
      <c r="CS144" s="260"/>
      <c r="CV144" s="260"/>
      <c r="CY144" s="260"/>
      <c r="DB144" s="260"/>
    </row>
    <row r="145" spans="1:119" s="144" customFormat="1" x14ac:dyDescent="0.25">
      <c r="A145" s="181"/>
      <c r="C145" s="133"/>
      <c r="L145" s="260"/>
      <c r="X145" s="260"/>
      <c r="Y145" s="170"/>
      <c r="AJ145" s="260"/>
      <c r="BD145" s="260"/>
      <c r="BY145" s="260"/>
      <c r="CJ145" s="260"/>
      <c r="CN145" s="170"/>
      <c r="CP145" s="260"/>
      <c r="CS145" s="260"/>
      <c r="CV145" s="260"/>
      <c r="CY145" s="260"/>
      <c r="DB145" s="260"/>
    </row>
    <row r="146" spans="1:119" s="144" customFormat="1" x14ac:dyDescent="0.25">
      <c r="A146" s="181"/>
      <c r="C146" s="133"/>
      <c r="L146" s="260"/>
      <c r="X146" s="260"/>
      <c r="Y146" s="170"/>
      <c r="AJ146" s="260"/>
      <c r="BD146" s="260"/>
      <c r="BY146" s="260"/>
      <c r="CJ146" s="260"/>
      <c r="CN146" s="170"/>
      <c r="CP146" s="260"/>
      <c r="CS146" s="260"/>
      <c r="CV146" s="260"/>
      <c r="CY146" s="260"/>
      <c r="DB146" s="260"/>
    </row>
    <row r="147" spans="1:119" s="144" customFormat="1" hidden="1" x14ac:dyDescent="0.25">
      <c r="A147" s="181"/>
      <c r="C147" s="133"/>
      <c r="L147" s="260"/>
      <c r="X147" s="260"/>
      <c r="Y147" s="170"/>
      <c r="AJ147" s="260"/>
      <c r="BD147" s="260"/>
      <c r="BY147" s="260"/>
      <c r="CJ147" s="260"/>
      <c r="CN147" s="170"/>
      <c r="CP147" s="260"/>
      <c r="CS147" s="260"/>
      <c r="CV147" s="260"/>
      <c r="CY147" s="260"/>
      <c r="DB147" s="260"/>
    </row>
    <row r="148" spans="1:119" s="144" customFormat="1" hidden="1" x14ac:dyDescent="0.25">
      <c r="A148" s="181" t="s">
        <v>122</v>
      </c>
      <c r="B148" s="144">
        <v>224872</v>
      </c>
      <c r="C148" s="133"/>
      <c r="D148" s="144">
        <v>346900</v>
      </c>
      <c r="E148" s="144">
        <v>0.64823292014989908</v>
      </c>
      <c r="G148" s="144">
        <v>190795.39849773014</v>
      </c>
      <c r="H148" s="144">
        <v>13.429785756460962</v>
      </c>
      <c r="I148" s="144">
        <v>218547</v>
      </c>
      <c r="J148" s="144">
        <v>15.93846955257591</v>
      </c>
      <c r="K148" s="144">
        <v>166095.72</v>
      </c>
      <c r="L148" s="260">
        <v>27300</v>
      </c>
      <c r="M148" s="144">
        <v>41451540</v>
      </c>
      <c r="N148" s="144">
        <v>174837.59999999998</v>
      </c>
      <c r="O148" s="144">
        <v>96335.517599999963</v>
      </c>
      <c r="P148" s="144">
        <v>159539.30999999997</v>
      </c>
      <c r="Q148" s="144">
        <v>242830</v>
      </c>
      <c r="R148" s="144">
        <v>18.560754919590277</v>
      </c>
      <c r="S148" s="144">
        <v>184550.80000000008</v>
      </c>
      <c r="T148" s="144">
        <v>194264</v>
      </c>
      <c r="U148" s="144">
        <v>107039.46399999996</v>
      </c>
      <c r="V148" s="144">
        <v>177265.9</v>
      </c>
      <c r="X148" s="260"/>
      <c r="Y148" s="170"/>
      <c r="Z148" s="144">
        <v>36585</v>
      </c>
      <c r="AB148" s="144">
        <v>80100</v>
      </c>
      <c r="AC148" s="144">
        <v>12.931836717341014</v>
      </c>
      <c r="AD148" s="144">
        <v>114</v>
      </c>
      <c r="AE148" s="144">
        <v>36845.699999999997</v>
      </c>
      <c r="AF148" s="144">
        <v>12.162146876201003</v>
      </c>
      <c r="AG148" s="144">
        <v>43254.7</v>
      </c>
      <c r="AH148" s="144">
        <v>14.223856972278744</v>
      </c>
      <c r="AI148" s="144">
        <v>32441.024999999998</v>
      </c>
      <c r="AJ148" s="260">
        <v>26013</v>
      </c>
      <c r="AK148" s="144">
        <v>7758085.7249999996</v>
      </c>
      <c r="AL148" s="144">
        <v>35036.307000000001</v>
      </c>
      <c r="AM148" s="144">
        <v>21411.076500000003</v>
      </c>
      <c r="AN148" s="144">
        <v>36766.495000000003</v>
      </c>
      <c r="AO148" s="144">
        <v>48860.7</v>
      </c>
      <c r="AP148" s="144">
        <v>16.332881490570912</v>
      </c>
      <c r="AQ148" s="144">
        <v>36645.525000000001</v>
      </c>
      <c r="AR148" s="144">
        <v>39577.167000000009</v>
      </c>
      <c r="AS148" s="144">
        <v>24918.956999999999</v>
      </c>
      <c r="AT148" s="144">
        <v>42997.416000000012</v>
      </c>
      <c r="AU148" s="144">
        <v>38743</v>
      </c>
      <c r="AV148" s="144">
        <v>181500</v>
      </c>
      <c r="AW148" s="144">
        <v>5.2898654457812082</v>
      </c>
      <c r="AX148" s="144">
        <v>114</v>
      </c>
      <c r="AY148" s="144">
        <v>43057</v>
      </c>
      <c r="AZ148" s="144">
        <v>5.7288916625146777</v>
      </c>
      <c r="BA148" s="144">
        <v>45676</v>
      </c>
      <c r="BB148" s="144">
        <v>6.0193337174728603</v>
      </c>
      <c r="BC148" s="144">
        <v>31973.199999999997</v>
      </c>
      <c r="BD148" s="260">
        <v>23664</v>
      </c>
      <c r="BE148" s="144">
        <v>7963099.1999999993</v>
      </c>
      <c r="BF148" s="144">
        <v>32886.720000000001</v>
      </c>
      <c r="BG148" s="144">
        <v>22061.507999999998</v>
      </c>
      <c r="BH148" s="144">
        <v>37911.079999999994</v>
      </c>
      <c r="BI148" s="144">
        <v>47314</v>
      </c>
      <c r="BJ148" s="144">
        <v>6.1809553390944822</v>
      </c>
      <c r="BK148" s="144">
        <v>33592.94</v>
      </c>
      <c r="BL148" s="144">
        <v>34066.079999999994</v>
      </c>
      <c r="BM148" s="144">
        <v>23179.128599999996</v>
      </c>
      <c r="BN148" s="144">
        <v>39270.619999999995</v>
      </c>
      <c r="BO148" s="144">
        <v>180</v>
      </c>
      <c r="BP148" s="144">
        <v>70</v>
      </c>
      <c r="BQ148" s="144">
        <v>30</v>
      </c>
      <c r="BR148" s="144">
        <v>975</v>
      </c>
      <c r="BS148" s="144">
        <v>2879.8999999999996</v>
      </c>
      <c r="BT148" s="144">
        <v>2417.4000000000005</v>
      </c>
      <c r="BU148" s="144">
        <v>1200</v>
      </c>
      <c r="BV148" s="144">
        <v>1200</v>
      </c>
      <c r="BW148" s="144">
        <v>1900</v>
      </c>
      <c r="BX148" s="144">
        <v>1254</v>
      </c>
      <c r="BY148" s="260">
        <v>9240</v>
      </c>
      <c r="BZ148" s="144">
        <v>482790</v>
      </c>
      <c r="CA148" s="144">
        <v>1368</v>
      </c>
      <c r="CB148" s="144">
        <v>856.15199999999993</v>
      </c>
      <c r="CC148" s="144">
        <v>1577</v>
      </c>
      <c r="CD148" s="144">
        <v>3200</v>
      </c>
      <c r="CE148" s="144">
        <v>2112</v>
      </c>
      <c r="CF148" s="144">
        <v>2304</v>
      </c>
      <c r="CG148" s="144">
        <v>1442.7072000000003</v>
      </c>
      <c r="CH148" s="144">
        <v>2655.9999999999991</v>
      </c>
      <c r="CI148" s="144">
        <v>1500</v>
      </c>
      <c r="CJ148" s="260">
        <v>7932</v>
      </c>
      <c r="CK148" s="144">
        <v>1983000</v>
      </c>
      <c r="CL148" s="144">
        <v>0</v>
      </c>
      <c r="CM148" s="144">
        <v>790</v>
      </c>
      <c r="CN148" s="170">
        <v>327712</v>
      </c>
      <c r="CO148" s="144">
        <v>0</v>
      </c>
      <c r="CP148" s="260">
        <v>1125</v>
      </c>
      <c r="CQ148" s="144">
        <v>0</v>
      </c>
      <c r="CR148" s="144">
        <v>0</v>
      </c>
      <c r="CS148" s="260">
        <v>223</v>
      </c>
      <c r="CT148" s="144">
        <v>0</v>
      </c>
      <c r="CU148" s="144">
        <v>0</v>
      </c>
      <c r="CV148" s="260">
        <v>1125</v>
      </c>
      <c r="CW148" s="144">
        <v>0</v>
      </c>
      <c r="CX148" s="144">
        <v>0</v>
      </c>
      <c r="CY148" s="260">
        <v>1125</v>
      </c>
      <c r="CZ148" s="144">
        <v>0</v>
      </c>
      <c r="DA148" s="144">
        <v>0</v>
      </c>
      <c r="DB148" s="260">
        <v>232</v>
      </c>
      <c r="DC148" s="144">
        <v>0</v>
      </c>
      <c r="DD148" s="144">
        <v>0</v>
      </c>
      <c r="DE148" s="144">
        <v>1125</v>
      </c>
      <c r="DF148" s="144">
        <v>0</v>
      </c>
      <c r="DG148" s="144">
        <v>0</v>
      </c>
      <c r="DH148" s="144">
        <v>1125</v>
      </c>
      <c r="DI148" s="144">
        <v>0</v>
      </c>
      <c r="DJ148" s="144">
        <v>0</v>
      </c>
      <c r="DK148" s="144">
        <v>1125</v>
      </c>
      <c r="DL148" s="144">
        <v>0</v>
      </c>
      <c r="DM148" s="144">
        <v>0</v>
      </c>
      <c r="DN148" s="144">
        <v>1125</v>
      </c>
      <c r="DO148" s="144">
        <v>0</v>
      </c>
    </row>
    <row r="149" spans="1:119" s="144" customFormat="1" hidden="1" x14ac:dyDescent="0.25">
      <c r="A149" s="181" t="s">
        <v>123</v>
      </c>
      <c r="C149" s="133"/>
      <c r="D149" s="170">
        <f>D91-D148</f>
        <v>0</v>
      </c>
      <c r="E149" s="170">
        <f t="shared" ref="E149:CB149" si="133">E91-E148</f>
        <v>0</v>
      </c>
      <c r="F149" s="170">
        <f t="shared" si="133"/>
        <v>0</v>
      </c>
      <c r="G149" s="170">
        <f t="shared" si="133"/>
        <v>-43098</v>
      </c>
      <c r="H149" s="170">
        <f t="shared" si="133"/>
        <v>-2.184924416071043</v>
      </c>
      <c r="I149" s="170">
        <f t="shared" si="133"/>
        <v>-48642</v>
      </c>
      <c r="J149" s="170">
        <f t="shared" si="133"/>
        <v>-2.4003045279453694</v>
      </c>
      <c r="K149" s="170">
        <f t="shared" si="133"/>
        <v>110666.00640000004</v>
      </c>
      <c r="L149" s="260">
        <f t="shared" si="133"/>
        <v>-1240.0199999999495</v>
      </c>
      <c r="M149" s="170">
        <f t="shared" si="133"/>
        <v>41449787.525856018</v>
      </c>
      <c r="N149" s="170">
        <f t="shared" si="133"/>
        <v>-38913.599999999977</v>
      </c>
      <c r="O149" s="170">
        <f t="shared" si="133"/>
        <v>64187.083712000021</v>
      </c>
      <c r="P149" s="170">
        <f t="shared" si="133"/>
        <v>-35508.659999999974</v>
      </c>
      <c r="Q149" s="170">
        <f t="shared" si="133"/>
        <v>-48642</v>
      </c>
      <c r="R149" s="170">
        <f t="shared" si="133"/>
        <v>-2.4003045279453694</v>
      </c>
      <c r="S149" s="170">
        <f t="shared" si="133"/>
        <v>-36967.920000000071</v>
      </c>
      <c r="T149" s="170">
        <f t="shared" si="133"/>
        <v>-38913.599999999977</v>
      </c>
      <c r="U149" s="170">
        <f t="shared" si="133"/>
        <v>-21441.393599999967</v>
      </c>
      <c r="V149" s="170">
        <f t="shared" si="133"/>
        <v>-35508.660000000003</v>
      </c>
      <c r="W149" s="170"/>
      <c r="X149" s="260"/>
      <c r="Y149" s="170"/>
      <c r="Z149" s="170">
        <f t="shared" si="133"/>
        <v>-5442</v>
      </c>
      <c r="AA149" s="170"/>
      <c r="AB149" s="170">
        <f t="shared" si="133"/>
        <v>-19600</v>
      </c>
      <c r="AC149" s="170">
        <f t="shared" si="133"/>
        <v>-1.251320105820108</v>
      </c>
      <c r="AD149" s="170">
        <f t="shared" si="133"/>
        <v>-28</v>
      </c>
      <c r="AE149" s="170">
        <f t="shared" si="133"/>
        <v>-6798.9999999999964</v>
      </c>
      <c r="AF149" s="170">
        <f t="shared" si="133"/>
        <v>-1.5286314905709126</v>
      </c>
      <c r="AG149" s="170">
        <f t="shared" si="133"/>
        <v>-8659</v>
      </c>
      <c r="AH149" s="170">
        <f t="shared" si="133"/>
        <v>-1.8286314905709116</v>
      </c>
      <c r="AI149" s="170">
        <f t="shared" si="133"/>
        <v>21858.275000000005</v>
      </c>
      <c r="AJ149" s="260">
        <f t="shared" si="133"/>
        <v>12.179999999971187</v>
      </c>
      <c r="AK149" s="170">
        <f t="shared" si="133"/>
        <v>8483881.4134999998</v>
      </c>
      <c r="AL149" s="170">
        <f t="shared" si="133"/>
        <v>-5429.9385000000002</v>
      </c>
      <c r="AM149" s="170">
        <f t="shared" si="133"/>
        <v>14426.131500000003</v>
      </c>
      <c r="AN149" s="170">
        <f t="shared" si="133"/>
        <v>-7360.1500000000015</v>
      </c>
      <c r="AO149" s="170">
        <f t="shared" si="133"/>
        <v>-10519</v>
      </c>
      <c r="AP149" s="170">
        <f t="shared" si="133"/>
        <v>-2.1286314905709141</v>
      </c>
      <c r="AQ149" s="170">
        <f t="shared" si="133"/>
        <v>-7889.25</v>
      </c>
      <c r="AR149" s="170">
        <f t="shared" si="133"/>
        <v>-8520.3900000000103</v>
      </c>
      <c r="AS149" s="170">
        <f t="shared" si="133"/>
        <v>-5364.6899999999987</v>
      </c>
      <c r="AT149" s="170">
        <f t="shared" si="133"/>
        <v>-9256.7200000000157</v>
      </c>
      <c r="AU149" s="170">
        <f t="shared" si="133"/>
        <v>-2690</v>
      </c>
      <c r="AV149" s="170">
        <f t="shared" si="133"/>
        <v>-36500</v>
      </c>
      <c r="AW149" s="170">
        <f t="shared" si="133"/>
        <v>-0.46858560823754836</v>
      </c>
      <c r="AX149" s="170">
        <f t="shared" si="133"/>
        <v>-28</v>
      </c>
      <c r="AY149" s="170">
        <f t="shared" si="133"/>
        <v>-3313</v>
      </c>
      <c r="AZ149" s="170">
        <f t="shared" si="133"/>
        <v>-0.5034077915469366</v>
      </c>
      <c r="BA149" s="170">
        <f t="shared" si="133"/>
        <v>-3853</v>
      </c>
      <c r="BB149" s="170">
        <f t="shared" si="133"/>
        <v>-0.5334077915469333</v>
      </c>
      <c r="BC149" s="170">
        <f t="shared" si="133"/>
        <v>27636.200000000004</v>
      </c>
      <c r="BD149" s="260">
        <f t="shared" si="133"/>
        <v>22.619999999969878</v>
      </c>
      <c r="BE149" s="170">
        <f t="shared" si="133"/>
        <v>8262408.6639999989</v>
      </c>
      <c r="BF149" s="170">
        <f t="shared" si="133"/>
        <v>-474.1140000000014</v>
      </c>
      <c r="BG149" s="170">
        <f t="shared" si="133"/>
        <v>19068.043999999998</v>
      </c>
      <c r="BH149" s="170">
        <f t="shared" si="133"/>
        <v>-3197.989999999998</v>
      </c>
      <c r="BI149" s="170">
        <f t="shared" si="133"/>
        <v>-4393</v>
      </c>
      <c r="BJ149" s="170">
        <f t="shared" si="133"/>
        <v>-0.56340779154693443</v>
      </c>
      <c r="BK149" s="170">
        <f t="shared" si="133"/>
        <v>-3119.0300000000061</v>
      </c>
      <c r="BL149" s="170">
        <f t="shared" si="133"/>
        <v>-3162.9599999999955</v>
      </c>
      <c r="BM149" s="170">
        <f t="shared" si="133"/>
        <v>-2152.1306999999979</v>
      </c>
      <c r="BN149" s="170">
        <f t="shared" si="133"/>
        <v>-3646.1899999999951</v>
      </c>
      <c r="BO149" s="170">
        <f t="shared" si="133"/>
        <v>0</v>
      </c>
      <c r="BP149" s="170">
        <f t="shared" si="133"/>
        <v>0</v>
      </c>
      <c r="BQ149" s="170">
        <f t="shared" si="133"/>
        <v>0</v>
      </c>
      <c r="BR149" s="170">
        <f t="shared" si="133"/>
        <v>0</v>
      </c>
      <c r="BS149" s="170">
        <f t="shared" si="133"/>
        <v>-449.39999999999964</v>
      </c>
      <c r="BT149" s="170">
        <f t="shared" si="133"/>
        <v>-296.90000000000055</v>
      </c>
      <c r="BU149" s="170">
        <f t="shared" si="133"/>
        <v>-30</v>
      </c>
      <c r="BV149" s="170">
        <f t="shared" si="133"/>
        <v>0</v>
      </c>
      <c r="BW149" s="170">
        <f t="shared" si="133"/>
        <v>0</v>
      </c>
      <c r="BX149" s="170">
        <f t="shared" si="133"/>
        <v>1233.8000000000002</v>
      </c>
      <c r="BY149" s="260">
        <f t="shared" si="133"/>
        <v>3476.8800000000047</v>
      </c>
      <c r="BZ149" s="170">
        <f t="shared" si="133"/>
        <v>475877.72</v>
      </c>
      <c r="CA149" s="170">
        <f t="shared" si="133"/>
        <v>75.725999999999885</v>
      </c>
      <c r="CB149" s="170">
        <f t="shared" si="133"/>
        <v>860.42999999999972</v>
      </c>
      <c r="CC149" s="170">
        <f t="shared" ref="CC149:DO149" si="134">CC91-CC148</f>
        <v>0</v>
      </c>
      <c r="CD149" s="170">
        <f t="shared" si="134"/>
        <v>0</v>
      </c>
      <c r="CE149" s="170">
        <f t="shared" si="134"/>
        <v>0</v>
      </c>
      <c r="CF149" s="170">
        <f t="shared" si="134"/>
        <v>0</v>
      </c>
      <c r="CG149" s="170">
        <f t="shared" si="134"/>
        <v>0</v>
      </c>
      <c r="CH149" s="170">
        <f t="shared" si="134"/>
        <v>0</v>
      </c>
      <c r="CI149" s="170">
        <f t="shared" si="134"/>
        <v>0</v>
      </c>
      <c r="CJ149" s="260">
        <f t="shared" si="134"/>
        <v>-6581</v>
      </c>
      <c r="CK149" s="170">
        <f t="shared" si="134"/>
        <v>583900</v>
      </c>
      <c r="CL149" s="170">
        <f t="shared" si="134"/>
        <v>0</v>
      </c>
      <c r="CM149" s="170">
        <f t="shared" si="134"/>
        <v>-790</v>
      </c>
      <c r="CN149" s="170">
        <f t="shared" si="134"/>
        <v>8715624</v>
      </c>
      <c r="CO149" s="170">
        <f t="shared" si="134"/>
        <v>1943</v>
      </c>
      <c r="CP149" s="260">
        <f t="shared" si="134"/>
        <v>1124.79</v>
      </c>
      <c r="CQ149" s="170">
        <f t="shared" si="134"/>
        <v>4371341.9700000007</v>
      </c>
      <c r="CR149" s="170">
        <f t="shared" si="134"/>
        <v>4980</v>
      </c>
      <c r="CS149" s="260">
        <f t="shared" si="134"/>
        <v>222.51</v>
      </c>
      <c r="CT149" s="170">
        <f t="shared" si="134"/>
        <v>2218639.7999999998</v>
      </c>
      <c r="CU149" s="170">
        <f t="shared" si="134"/>
        <v>444</v>
      </c>
      <c r="CV149" s="260">
        <f t="shared" si="134"/>
        <v>1124.79</v>
      </c>
      <c r="CW149" s="170">
        <f t="shared" si="134"/>
        <v>998906.76</v>
      </c>
      <c r="CX149" s="170">
        <f t="shared" si="134"/>
        <v>94</v>
      </c>
      <c r="CY149" s="260">
        <f t="shared" si="134"/>
        <v>1124.79</v>
      </c>
      <c r="CZ149" s="170">
        <f t="shared" si="134"/>
        <v>211480.26</v>
      </c>
      <c r="DA149" s="170">
        <f t="shared" si="134"/>
        <v>2440</v>
      </c>
      <c r="DB149" s="260">
        <f t="shared" si="134"/>
        <v>232.26</v>
      </c>
      <c r="DC149" s="170">
        <f t="shared" si="134"/>
        <v>1132794.3999999999</v>
      </c>
      <c r="DD149" s="170">
        <f t="shared" si="134"/>
        <v>132</v>
      </c>
      <c r="DE149" s="170">
        <f t="shared" si="134"/>
        <v>1124.79</v>
      </c>
      <c r="DF149" s="170">
        <f t="shared" si="134"/>
        <v>296972.27999999997</v>
      </c>
      <c r="DG149" s="170">
        <f t="shared" si="134"/>
        <v>24</v>
      </c>
      <c r="DH149" s="170">
        <f t="shared" si="134"/>
        <v>0</v>
      </c>
      <c r="DI149" s="170">
        <f t="shared" si="134"/>
        <v>53994.96</v>
      </c>
      <c r="DJ149" s="170">
        <f t="shared" si="134"/>
        <v>700</v>
      </c>
      <c r="DK149" s="170">
        <f t="shared" si="134"/>
        <v>-620.74</v>
      </c>
      <c r="DL149" s="170">
        <f t="shared" si="134"/>
        <v>352982</v>
      </c>
      <c r="DM149" s="170">
        <f t="shared" si="134"/>
        <v>28</v>
      </c>
      <c r="DN149" s="170">
        <f t="shared" si="134"/>
        <v>0</v>
      </c>
      <c r="DO149" s="170">
        <f t="shared" si="134"/>
        <v>62994.12000000001</v>
      </c>
    </row>
    <row r="150" spans="1:119" s="144" customFormat="1" hidden="1" x14ac:dyDescent="0.25">
      <c r="A150" s="181"/>
      <c r="C150" s="133"/>
      <c r="L150" s="260"/>
      <c r="X150" s="260"/>
      <c r="Y150" s="170"/>
      <c r="AJ150" s="260"/>
      <c r="BD150" s="260"/>
      <c r="BY150" s="260"/>
      <c r="CJ150" s="260"/>
      <c r="CN150" s="170"/>
      <c r="CP150" s="260"/>
      <c r="CS150" s="260"/>
      <c r="CV150" s="260"/>
      <c r="CY150" s="260"/>
      <c r="DB150" s="260"/>
    </row>
    <row r="151" spans="1:119" s="144" customFormat="1" x14ac:dyDescent="0.25">
      <c r="A151" s="181"/>
      <c r="C151" s="133"/>
      <c r="L151" s="260"/>
      <c r="X151" s="260"/>
      <c r="Y151" s="170"/>
      <c r="AJ151" s="260"/>
      <c r="BD151" s="260"/>
      <c r="BY151" s="260"/>
      <c r="CJ151" s="260"/>
      <c r="CN151" s="170"/>
      <c r="CP151" s="260"/>
      <c r="CS151" s="260"/>
      <c r="CV151" s="260"/>
      <c r="CY151" s="260"/>
      <c r="DB151" s="260"/>
    </row>
    <row r="152" spans="1:119" s="144" customFormat="1" x14ac:dyDescent="0.25">
      <c r="A152" s="181"/>
      <c r="C152" s="133"/>
      <c r="L152" s="260"/>
      <c r="X152" s="260"/>
      <c r="Y152" s="170"/>
      <c r="AJ152" s="260"/>
      <c r="BD152" s="260"/>
      <c r="BY152" s="260"/>
      <c r="CJ152" s="260"/>
      <c r="CN152" s="170"/>
      <c r="CP152" s="260"/>
      <c r="CS152" s="260"/>
      <c r="CV152" s="260"/>
      <c r="CY152" s="260"/>
      <c r="DB152" s="260"/>
    </row>
    <row r="153" spans="1:119" s="144" customFormat="1" x14ac:dyDescent="0.25">
      <c r="A153" s="181"/>
      <c r="C153" s="133"/>
      <c r="L153" s="260"/>
      <c r="X153" s="260"/>
      <c r="Y153" s="170"/>
      <c r="AJ153" s="260"/>
      <c r="BD153" s="260"/>
      <c r="BY153" s="260"/>
      <c r="CJ153" s="260"/>
      <c r="CN153" s="170"/>
      <c r="CP153" s="260"/>
      <c r="CS153" s="260"/>
      <c r="CV153" s="260"/>
      <c r="CY153" s="260"/>
      <c r="DB153" s="260"/>
    </row>
    <row r="154" spans="1:119" s="144" customFormat="1" x14ac:dyDescent="0.25">
      <c r="A154" s="181"/>
      <c r="C154" s="133"/>
      <c r="L154" s="260"/>
      <c r="X154" s="260"/>
      <c r="Y154" s="170"/>
      <c r="AJ154" s="260"/>
      <c r="BD154" s="260"/>
      <c r="BY154" s="260"/>
      <c r="CJ154" s="260"/>
      <c r="CN154" s="170"/>
      <c r="CP154" s="260"/>
      <c r="CS154" s="260"/>
      <c r="CV154" s="260"/>
      <c r="CY154" s="260"/>
      <c r="DB154" s="260"/>
    </row>
    <row r="155" spans="1:119" s="144" customFormat="1" x14ac:dyDescent="0.25">
      <c r="A155" s="181"/>
      <c r="C155" s="133"/>
      <c r="L155" s="260"/>
      <c r="X155" s="260"/>
      <c r="Y155" s="170"/>
      <c r="AJ155" s="260"/>
      <c r="BD155" s="260"/>
      <c r="BY155" s="260"/>
      <c r="CJ155" s="260"/>
      <c r="CN155" s="170"/>
      <c r="CP155" s="260"/>
      <c r="CS155" s="260"/>
      <c r="CV155" s="260"/>
      <c r="CY155" s="260"/>
      <c r="DB155" s="260"/>
    </row>
    <row r="156" spans="1:119" s="144" customFormat="1" x14ac:dyDescent="0.25">
      <c r="A156" s="181"/>
      <c r="C156" s="133"/>
      <c r="L156" s="260"/>
      <c r="X156" s="260"/>
      <c r="Y156" s="170"/>
      <c r="AJ156" s="260"/>
      <c r="BD156" s="260"/>
      <c r="BY156" s="260"/>
      <c r="CJ156" s="260"/>
      <c r="CN156" s="170"/>
      <c r="CP156" s="260"/>
      <c r="CS156" s="260"/>
      <c r="CV156" s="260"/>
      <c r="CY156" s="260"/>
      <c r="DB156" s="260"/>
    </row>
    <row r="157" spans="1:119" s="144" customFormat="1" x14ac:dyDescent="0.25">
      <c r="A157" s="181"/>
      <c r="C157" s="133"/>
      <c r="L157" s="260"/>
      <c r="X157" s="260"/>
      <c r="Y157" s="170"/>
      <c r="AJ157" s="260"/>
      <c r="BD157" s="260"/>
      <c r="BY157" s="260"/>
      <c r="CJ157" s="260"/>
      <c r="CN157" s="170"/>
      <c r="CP157" s="260"/>
      <c r="CS157" s="260"/>
      <c r="CV157" s="260"/>
      <c r="CY157" s="260"/>
      <c r="DB157" s="260"/>
    </row>
    <row r="158" spans="1:119" s="144" customFormat="1" x14ac:dyDescent="0.25">
      <c r="A158" s="181"/>
      <c r="C158" s="133"/>
      <c r="L158" s="260"/>
      <c r="X158" s="260"/>
      <c r="Y158" s="170"/>
      <c r="AJ158" s="260"/>
      <c r="BD158" s="260"/>
      <c r="BY158" s="260"/>
      <c r="CJ158" s="260"/>
      <c r="CN158" s="170"/>
      <c r="CP158" s="260"/>
      <c r="CS158" s="260"/>
      <c r="CV158" s="260"/>
      <c r="CY158" s="260"/>
      <c r="DB158" s="260"/>
    </row>
    <row r="159" spans="1:119" s="144" customFormat="1" x14ac:dyDescent="0.25">
      <c r="A159" s="181"/>
      <c r="C159" s="133"/>
      <c r="L159" s="260"/>
      <c r="X159" s="260"/>
      <c r="Y159" s="170"/>
      <c r="AJ159" s="260"/>
      <c r="BD159" s="260"/>
      <c r="BY159" s="260"/>
      <c r="CJ159" s="260"/>
      <c r="CN159" s="170"/>
      <c r="CP159" s="260"/>
      <c r="CS159" s="260"/>
      <c r="CV159" s="260"/>
      <c r="CY159" s="260"/>
      <c r="DB159" s="260"/>
    </row>
    <row r="160" spans="1:119" s="144" customFormat="1" x14ac:dyDescent="0.25">
      <c r="A160" s="181"/>
      <c r="C160" s="133"/>
      <c r="L160" s="260"/>
      <c r="X160" s="260"/>
      <c r="Y160" s="170"/>
      <c r="AJ160" s="260"/>
      <c r="BD160" s="260"/>
      <c r="BY160" s="260"/>
      <c r="CJ160" s="260"/>
      <c r="CN160" s="170"/>
      <c r="CP160" s="260"/>
      <c r="CS160" s="260"/>
      <c r="CV160" s="260"/>
      <c r="CY160" s="260"/>
      <c r="DB160" s="260"/>
    </row>
    <row r="161" spans="1:106" s="144" customFormat="1" x14ac:dyDescent="0.25">
      <c r="A161" s="181"/>
      <c r="C161" s="133"/>
      <c r="L161" s="260"/>
      <c r="X161" s="260"/>
      <c r="Y161" s="170"/>
      <c r="AJ161" s="260"/>
      <c r="BD161" s="260"/>
      <c r="BY161" s="260"/>
      <c r="CJ161" s="260"/>
      <c r="CN161" s="170"/>
      <c r="CP161" s="260"/>
      <c r="CS161" s="260"/>
      <c r="CV161" s="260"/>
      <c r="CY161" s="260"/>
      <c r="DB161" s="260"/>
    </row>
    <row r="162" spans="1:106" s="144" customFormat="1" x14ac:dyDescent="0.25">
      <c r="A162" s="181"/>
      <c r="C162" s="133"/>
      <c r="L162" s="260"/>
      <c r="X162" s="260"/>
      <c r="Y162" s="170"/>
      <c r="AJ162" s="260"/>
      <c r="BD162" s="260"/>
      <c r="BY162" s="260"/>
      <c r="CJ162" s="260"/>
      <c r="CN162" s="170"/>
      <c r="CP162" s="260"/>
      <c r="CS162" s="260"/>
      <c r="CV162" s="260"/>
      <c r="CY162" s="260"/>
      <c r="DB162" s="260"/>
    </row>
    <row r="163" spans="1:106" s="144" customFormat="1" x14ac:dyDescent="0.25">
      <c r="A163" s="181"/>
      <c r="C163" s="133"/>
      <c r="L163" s="260"/>
      <c r="X163" s="260"/>
      <c r="Y163" s="170"/>
      <c r="AJ163" s="260"/>
      <c r="BD163" s="260"/>
      <c r="BY163" s="260"/>
      <c r="CJ163" s="260"/>
      <c r="CN163" s="170"/>
      <c r="CP163" s="260"/>
      <c r="CS163" s="260"/>
      <c r="CV163" s="260"/>
      <c r="CY163" s="260"/>
      <c r="DB163" s="260"/>
    </row>
    <row r="164" spans="1:106" s="144" customFormat="1" x14ac:dyDescent="0.25">
      <c r="A164" s="181"/>
      <c r="C164" s="133"/>
      <c r="L164" s="260"/>
      <c r="X164" s="260"/>
      <c r="Y164" s="170"/>
      <c r="AJ164" s="260"/>
      <c r="BD164" s="260"/>
      <c r="BY164" s="260"/>
      <c r="CJ164" s="260"/>
      <c r="CN164" s="170"/>
      <c r="CP164" s="260"/>
      <c r="CS164" s="260"/>
      <c r="CV164" s="260"/>
      <c r="CY164" s="260"/>
      <c r="DB164" s="260"/>
    </row>
    <row r="165" spans="1:106" s="144" customFormat="1" x14ac:dyDescent="0.25">
      <c r="A165" s="181"/>
      <c r="C165" s="133"/>
      <c r="L165" s="260"/>
      <c r="X165" s="260"/>
      <c r="Y165" s="170"/>
      <c r="AJ165" s="260"/>
      <c r="BD165" s="260"/>
      <c r="BY165" s="260"/>
      <c r="CJ165" s="260"/>
      <c r="CN165" s="170"/>
      <c r="CP165" s="260"/>
      <c r="CS165" s="260"/>
      <c r="CV165" s="260"/>
      <c r="CY165" s="260"/>
      <c r="DB165" s="260"/>
    </row>
    <row r="166" spans="1:106" s="144" customFormat="1" x14ac:dyDescent="0.25">
      <c r="A166" s="181"/>
      <c r="C166" s="133"/>
      <c r="L166" s="260"/>
      <c r="X166" s="260"/>
      <c r="Y166" s="170"/>
      <c r="AJ166" s="260"/>
      <c r="BD166" s="260"/>
      <c r="BY166" s="260"/>
      <c r="CJ166" s="260"/>
      <c r="CN166" s="170"/>
      <c r="CP166" s="260"/>
      <c r="CS166" s="260"/>
      <c r="CV166" s="260"/>
      <c r="CY166" s="260"/>
      <c r="DB166" s="260"/>
    </row>
    <row r="167" spans="1:106" s="144" customFormat="1" x14ac:dyDescent="0.25">
      <c r="A167" s="181"/>
      <c r="C167" s="133"/>
      <c r="L167" s="260"/>
      <c r="X167" s="260"/>
      <c r="Y167" s="170"/>
      <c r="AJ167" s="260"/>
      <c r="BD167" s="260"/>
      <c r="BY167" s="260"/>
      <c r="CJ167" s="260"/>
      <c r="CN167" s="170"/>
      <c r="CP167" s="260"/>
      <c r="CS167" s="260"/>
      <c r="CV167" s="260"/>
      <c r="CY167" s="260"/>
      <c r="DB167" s="260"/>
    </row>
    <row r="168" spans="1:106" s="144" customFormat="1" x14ac:dyDescent="0.25">
      <c r="A168" s="181"/>
      <c r="C168" s="133"/>
      <c r="L168" s="260"/>
      <c r="X168" s="260"/>
      <c r="Y168" s="170"/>
      <c r="AJ168" s="260"/>
      <c r="BD168" s="260"/>
      <c r="BY168" s="260"/>
      <c r="CJ168" s="260"/>
      <c r="CN168" s="170"/>
      <c r="CP168" s="260"/>
      <c r="CS168" s="260"/>
      <c r="CV168" s="260"/>
      <c r="CY168" s="260"/>
      <c r="DB168" s="260"/>
    </row>
    <row r="169" spans="1:106" s="144" customFormat="1" x14ac:dyDescent="0.25">
      <c r="A169" s="181"/>
      <c r="C169" s="133"/>
      <c r="L169" s="260"/>
      <c r="X169" s="260"/>
      <c r="Y169" s="170"/>
      <c r="AJ169" s="260"/>
      <c r="BD169" s="260"/>
      <c r="BY169" s="260"/>
      <c r="CJ169" s="260"/>
      <c r="CN169" s="170"/>
      <c r="CP169" s="260"/>
      <c r="CS169" s="260"/>
      <c r="CV169" s="260"/>
      <c r="CY169" s="260"/>
      <c r="DB169" s="260"/>
    </row>
    <row r="170" spans="1:106" s="144" customFormat="1" x14ac:dyDescent="0.25">
      <c r="A170" s="181"/>
      <c r="C170" s="133"/>
      <c r="L170" s="260"/>
      <c r="X170" s="260"/>
      <c r="Y170" s="170"/>
      <c r="AJ170" s="260"/>
      <c r="BD170" s="260"/>
      <c r="BY170" s="260"/>
      <c r="CJ170" s="260"/>
      <c r="CN170" s="170"/>
      <c r="CP170" s="260"/>
      <c r="CS170" s="260"/>
      <c r="CV170" s="260"/>
      <c r="CY170" s="260"/>
      <c r="DB170" s="260"/>
    </row>
    <row r="171" spans="1:106" s="144" customFormat="1" x14ac:dyDescent="0.25">
      <c r="A171" s="181"/>
      <c r="C171" s="133"/>
      <c r="L171" s="260"/>
      <c r="X171" s="260"/>
      <c r="Y171" s="170"/>
      <c r="AJ171" s="260"/>
      <c r="BD171" s="260"/>
      <c r="BY171" s="260"/>
      <c r="CJ171" s="260"/>
      <c r="CN171" s="170"/>
      <c r="CP171" s="260"/>
      <c r="CS171" s="260"/>
      <c r="CV171" s="260"/>
      <c r="CY171" s="260"/>
      <c r="DB171" s="260"/>
    </row>
    <row r="172" spans="1:106" s="144" customFormat="1" x14ac:dyDescent="0.25">
      <c r="A172" s="181"/>
      <c r="C172" s="133"/>
      <c r="L172" s="260"/>
      <c r="X172" s="260"/>
      <c r="Y172" s="170"/>
      <c r="AJ172" s="260"/>
      <c r="BD172" s="260"/>
      <c r="BY172" s="260"/>
      <c r="CJ172" s="260"/>
      <c r="CN172" s="170"/>
      <c r="CP172" s="260"/>
      <c r="CS172" s="260"/>
      <c r="CV172" s="260"/>
      <c r="CY172" s="260"/>
      <c r="DB172" s="260"/>
    </row>
    <row r="173" spans="1:106" s="144" customFormat="1" x14ac:dyDescent="0.25">
      <c r="A173" s="181"/>
      <c r="C173" s="133"/>
      <c r="L173" s="260"/>
      <c r="X173" s="260"/>
      <c r="Y173" s="170"/>
      <c r="AJ173" s="260"/>
      <c r="BD173" s="260"/>
      <c r="BY173" s="260"/>
      <c r="CJ173" s="260"/>
      <c r="CN173" s="170"/>
      <c r="CP173" s="260"/>
      <c r="CS173" s="260"/>
      <c r="CV173" s="260"/>
      <c r="CY173" s="260"/>
      <c r="DB173" s="260"/>
    </row>
    <row r="174" spans="1:106" s="144" customFormat="1" x14ac:dyDescent="0.25">
      <c r="A174" s="181"/>
      <c r="C174" s="133"/>
      <c r="L174" s="260"/>
      <c r="X174" s="260"/>
      <c r="Y174" s="170"/>
      <c r="AJ174" s="260"/>
      <c r="BD174" s="260"/>
      <c r="BY174" s="260"/>
      <c r="CJ174" s="260"/>
      <c r="CN174" s="170"/>
      <c r="CP174" s="260"/>
      <c r="CS174" s="260"/>
      <c r="CV174" s="260"/>
      <c r="CY174" s="260"/>
      <c r="DB174" s="260"/>
    </row>
    <row r="175" spans="1:106" s="144" customFormat="1" x14ac:dyDescent="0.25">
      <c r="A175" s="181"/>
      <c r="C175" s="133"/>
      <c r="L175" s="260"/>
      <c r="X175" s="260"/>
      <c r="Y175" s="170"/>
      <c r="AJ175" s="260"/>
      <c r="BD175" s="260"/>
      <c r="BY175" s="260"/>
      <c r="CJ175" s="260"/>
      <c r="CN175" s="170"/>
      <c r="CP175" s="260"/>
      <c r="CS175" s="260"/>
      <c r="CV175" s="260"/>
      <c r="CY175" s="260"/>
      <c r="DB175" s="260"/>
    </row>
    <row r="176" spans="1:106" s="144" customFormat="1" x14ac:dyDescent="0.25">
      <c r="A176" s="181"/>
      <c r="C176" s="133"/>
      <c r="L176" s="260"/>
      <c r="X176" s="260"/>
      <c r="Y176" s="170"/>
      <c r="AJ176" s="260"/>
      <c r="BD176" s="260"/>
      <c r="BY176" s="260"/>
      <c r="CJ176" s="260"/>
      <c r="CN176" s="170"/>
      <c r="CP176" s="260"/>
      <c r="CS176" s="260"/>
      <c r="CV176" s="260"/>
      <c r="CY176" s="260"/>
      <c r="DB176" s="260"/>
    </row>
    <row r="177" spans="1:106" s="144" customFormat="1" x14ac:dyDescent="0.25">
      <c r="A177" s="181"/>
      <c r="C177" s="133"/>
      <c r="L177" s="260"/>
      <c r="X177" s="260"/>
      <c r="Y177" s="170"/>
      <c r="AJ177" s="260"/>
      <c r="BD177" s="260"/>
      <c r="BY177" s="260"/>
      <c r="CJ177" s="260"/>
      <c r="CN177" s="170"/>
      <c r="CP177" s="260"/>
      <c r="CS177" s="260"/>
      <c r="CV177" s="260"/>
      <c r="CY177" s="260"/>
      <c r="DB177" s="260"/>
    </row>
    <row r="178" spans="1:106" s="144" customFormat="1" x14ac:dyDescent="0.25">
      <c r="A178" s="181"/>
      <c r="C178" s="133"/>
      <c r="L178" s="260"/>
      <c r="X178" s="260"/>
      <c r="Y178" s="170"/>
      <c r="AJ178" s="260"/>
      <c r="BD178" s="260"/>
      <c r="BY178" s="260"/>
      <c r="CJ178" s="260"/>
      <c r="CN178" s="170"/>
      <c r="CP178" s="260"/>
      <c r="CS178" s="260"/>
      <c r="CV178" s="260"/>
      <c r="CY178" s="260"/>
      <c r="DB178" s="260"/>
    </row>
    <row r="179" spans="1:106" s="144" customFormat="1" x14ac:dyDescent="0.25">
      <c r="A179" s="181"/>
      <c r="C179" s="133"/>
      <c r="L179" s="260"/>
      <c r="X179" s="260"/>
      <c r="Y179" s="170"/>
      <c r="AJ179" s="260"/>
      <c r="BD179" s="260"/>
      <c r="BY179" s="260"/>
      <c r="CJ179" s="260"/>
      <c r="CN179" s="170"/>
      <c r="CP179" s="260"/>
      <c r="CS179" s="260"/>
      <c r="CV179" s="260"/>
      <c r="CY179" s="260"/>
      <c r="DB179" s="260"/>
    </row>
    <row r="180" spans="1:106" s="144" customFormat="1" x14ac:dyDescent="0.25">
      <c r="A180" s="181"/>
      <c r="C180" s="133"/>
      <c r="L180" s="260"/>
      <c r="X180" s="260"/>
      <c r="Y180" s="170"/>
      <c r="AJ180" s="260"/>
      <c r="BD180" s="260"/>
      <c r="BY180" s="260"/>
      <c r="CJ180" s="260"/>
      <c r="CN180" s="170"/>
      <c r="CP180" s="260"/>
      <c r="CS180" s="260"/>
      <c r="CV180" s="260"/>
      <c r="CY180" s="260"/>
      <c r="DB180" s="260"/>
    </row>
    <row r="181" spans="1:106" s="144" customFormat="1" x14ac:dyDescent="0.25">
      <c r="A181" s="181"/>
      <c r="C181" s="133"/>
      <c r="L181" s="260"/>
      <c r="X181" s="260"/>
      <c r="Y181" s="170"/>
      <c r="AJ181" s="260"/>
      <c r="BD181" s="260"/>
      <c r="BY181" s="260"/>
      <c r="CJ181" s="260"/>
      <c r="CN181" s="170"/>
      <c r="CP181" s="260"/>
      <c r="CS181" s="260"/>
      <c r="CV181" s="260"/>
      <c r="CY181" s="260"/>
      <c r="DB181" s="260"/>
    </row>
    <row r="182" spans="1:106" s="144" customFormat="1" x14ac:dyDescent="0.25">
      <c r="A182" s="181"/>
      <c r="C182" s="133"/>
      <c r="L182" s="260"/>
      <c r="X182" s="260"/>
      <c r="Y182" s="170"/>
      <c r="AJ182" s="260"/>
      <c r="BD182" s="260"/>
      <c r="BY182" s="260"/>
      <c r="CJ182" s="260"/>
      <c r="CN182" s="170"/>
      <c r="CP182" s="260"/>
      <c r="CS182" s="260"/>
      <c r="CV182" s="260"/>
      <c r="CY182" s="260"/>
      <c r="DB182" s="260"/>
    </row>
    <row r="183" spans="1:106" s="144" customFormat="1" x14ac:dyDescent="0.25">
      <c r="A183" s="181"/>
      <c r="C183" s="133"/>
      <c r="L183" s="260"/>
      <c r="X183" s="260"/>
      <c r="Y183" s="170"/>
      <c r="AJ183" s="260"/>
      <c r="BD183" s="260"/>
      <c r="BY183" s="260"/>
      <c r="CJ183" s="260"/>
      <c r="CN183" s="170"/>
      <c r="CP183" s="260"/>
      <c r="CS183" s="260"/>
      <c r="CV183" s="260"/>
      <c r="CY183" s="260"/>
      <c r="DB183" s="260"/>
    </row>
    <row r="184" spans="1:106" s="144" customFormat="1" x14ac:dyDescent="0.25">
      <c r="A184" s="181"/>
      <c r="C184" s="133"/>
      <c r="L184" s="260"/>
      <c r="X184" s="260"/>
      <c r="Y184" s="170"/>
      <c r="AJ184" s="260"/>
      <c r="BD184" s="260"/>
      <c r="BY184" s="260"/>
      <c r="CJ184" s="260"/>
      <c r="CN184" s="170"/>
      <c r="CP184" s="260"/>
      <c r="CS184" s="260"/>
      <c r="CV184" s="260"/>
      <c r="CY184" s="260"/>
      <c r="DB184" s="260"/>
    </row>
    <row r="185" spans="1:106" s="144" customFormat="1" x14ac:dyDescent="0.25">
      <c r="A185" s="181"/>
      <c r="C185" s="133"/>
      <c r="L185" s="260"/>
      <c r="X185" s="260"/>
      <c r="Y185" s="170"/>
      <c r="AJ185" s="260"/>
      <c r="BD185" s="260"/>
      <c r="BY185" s="260"/>
      <c r="CJ185" s="260"/>
      <c r="CN185" s="170"/>
      <c r="CP185" s="260"/>
      <c r="CS185" s="260"/>
      <c r="CV185" s="260"/>
      <c r="CY185" s="260"/>
      <c r="DB185" s="260"/>
    </row>
    <row r="186" spans="1:106" s="144" customFormat="1" x14ac:dyDescent="0.25">
      <c r="A186" s="181"/>
      <c r="C186" s="133"/>
      <c r="L186" s="260"/>
      <c r="X186" s="260"/>
      <c r="Y186" s="170"/>
      <c r="AJ186" s="260"/>
      <c r="BD186" s="260"/>
      <c r="BY186" s="260"/>
      <c r="CJ186" s="260"/>
      <c r="CN186" s="170"/>
      <c r="CP186" s="260"/>
      <c r="CS186" s="260"/>
      <c r="CV186" s="260"/>
      <c r="CY186" s="260"/>
      <c r="DB186" s="260"/>
    </row>
    <row r="187" spans="1:106" s="144" customFormat="1" x14ac:dyDescent="0.25">
      <c r="A187" s="181"/>
      <c r="C187" s="133"/>
      <c r="L187" s="260"/>
      <c r="X187" s="260"/>
      <c r="Y187" s="170"/>
      <c r="AJ187" s="260"/>
      <c r="BD187" s="260"/>
      <c r="BY187" s="260"/>
      <c r="CJ187" s="260"/>
      <c r="CN187" s="170"/>
      <c r="CP187" s="260"/>
      <c r="CS187" s="260"/>
      <c r="CV187" s="260"/>
      <c r="CY187" s="260"/>
      <c r="DB187" s="260"/>
    </row>
    <row r="188" spans="1:106" s="144" customFormat="1" x14ac:dyDescent="0.25">
      <c r="A188" s="181"/>
      <c r="C188" s="133"/>
      <c r="L188" s="260"/>
      <c r="X188" s="260"/>
      <c r="Y188" s="170"/>
      <c r="AJ188" s="260"/>
      <c r="BD188" s="260"/>
      <c r="BY188" s="260"/>
      <c r="CJ188" s="260"/>
      <c r="CN188" s="170"/>
      <c r="CP188" s="260"/>
      <c r="CS188" s="260"/>
      <c r="CV188" s="260"/>
      <c r="CY188" s="260"/>
      <c r="DB188" s="260"/>
    </row>
    <row r="189" spans="1:106" s="144" customFormat="1" x14ac:dyDescent="0.25">
      <c r="A189" s="181"/>
      <c r="C189" s="133"/>
      <c r="L189" s="260"/>
      <c r="X189" s="260"/>
      <c r="Y189" s="170"/>
      <c r="AJ189" s="260"/>
      <c r="BD189" s="260"/>
      <c r="BY189" s="260"/>
      <c r="CJ189" s="260"/>
      <c r="CN189" s="170"/>
      <c r="CP189" s="260"/>
      <c r="CS189" s="260"/>
      <c r="CV189" s="260"/>
      <c r="CY189" s="260"/>
      <c r="DB189" s="260"/>
    </row>
    <row r="190" spans="1:106" s="144" customFormat="1" x14ac:dyDescent="0.25">
      <c r="A190" s="181"/>
      <c r="C190" s="133"/>
      <c r="L190" s="260"/>
      <c r="X190" s="260"/>
      <c r="Y190" s="170"/>
      <c r="AJ190" s="260"/>
      <c r="BD190" s="260"/>
      <c r="BY190" s="260"/>
      <c r="CJ190" s="260"/>
      <c r="CN190" s="170"/>
      <c r="CP190" s="260"/>
      <c r="CS190" s="260"/>
      <c r="CV190" s="260"/>
      <c r="CY190" s="260"/>
      <c r="DB190" s="260"/>
    </row>
    <row r="191" spans="1:106" s="144" customFormat="1" x14ac:dyDescent="0.25">
      <c r="A191" s="181"/>
      <c r="C191" s="133"/>
      <c r="L191" s="260"/>
      <c r="X191" s="260"/>
      <c r="Y191" s="170"/>
      <c r="AJ191" s="260"/>
      <c r="BD191" s="260"/>
      <c r="BY191" s="260"/>
      <c r="CJ191" s="260"/>
      <c r="CN191" s="170"/>
      <c r="CP191" s="260"/>
      <c r="CS191" s="260"/>
      <c r="CV191" s="260"/>
      <c r="CY191" s="260"/>
      <c r="DB191" s="260"/>
    </row>
    <row r="192" spans="1:106" s="144" customFormat="1" x14ac:dyDescent="0.25">
      <c r="A192" s="181"/>
      <c r="C192" s="133"/>
      <c r="L192" s="260"/>
      <c r="X192" s="260"/>
      <c r="Y192" s="170"/>
      <c r="AJ192" s="260"/>
      <c r="BD192" s="260"/>
      <c r="BY192" s="260"/>
      <c r="CJ192" s="260"/>
      <c r="CN192" s="170"/>
      <c r="CP192" s="260"/>
      <c r="CS192" s="260"/>
      <c r="CV192" s="260"/>
      <c r="CY192" s="260"/>
      <c r="DB192" s="260"/>
    </row>
    <row r="193" spans="1:106" s="144" customFormat="1" x14ac:dyDescent="0.25">
      <c r="A193" s="181"/>
      <c r="C193" s="133"/>
      <c r="L193" s="260"/>
      <c r="X193" s="260"/>
      <c r="Y193" s="170"/>
      <c r="AJ193" s="260"/>
      <c r="BD193" s="260"/>
      <c r="BY193" s="260"/>
      <c r="CJ193" s="260"/>
      <c r="CN193" s="170"/>
      <c r="CP193" s="260"/>
      <c r="CS193" s="260"/>
      <c r="CV193" s="260"/>
      <c r="CY193" s="260"/>
      <c r="DB193" s="260"/>
    </row>
    <row r="194" spans="1:106" s="144" customFormat="1" x14ac:dyDescent="0.25">
      <c r="A194" s="181"/>
      <c r="C194" s="133"/>
      <c r="L194" s="260"/>
      <c r="X194" s="260"/>
      <c r="Y194" s="170"/>
      <c r="AJ194" s="260"/>
      <c r="BD194" s="260"/>
      <c r="BY194" s="260"/>
      <c r="CJ194" s="260"/>
      <c r="CN194" s="170"/>
      <c r="CP194" s="260"/>
      <c r="CS194" s="260"/>
      <c r="CV194" s="260"/>
      <c r="CY194" s="260"/>
      <c r="DB194" s="260"/>
    </row>
    <row r="195" spans="1:106" s="144" customFormat="1" x14ac:dyDescent="0.25">
      <c r="A195" s="181"/>
      <c r="C195" s="133"/>
      <c r="L195" s="260"/>
      <c r="X195" s="260"/>
      <c r="Y195" s="170"/>
      <c r="AJ195" s="260"/>
      <c r="BD195" s="260"/>
      <c r="BY195" s="260"/>
      <c r="CJ195" s="260"/>
      <c r="CN195" s="170"/>
      <c r="CP195" s="260"/>
      <c r="CS195" s="260"/>
      <c r="CV195" s="260"/>
      <c r="CY195" s="260"/>
      <c r="DB195" s="260"/>
    </row>
    <row r="196" spans="1:106" s="144" customFormat="1" x14ac:dyDescent="0.25">
      <c r="A196" s="181"/>
      <c r="C196" s="133"/>
      <c r="L196" s="260"/>
      <c r="X196" s="260"/>
      <c r="Y196" s="170"/>
      <c r="AJ196" s="260"/>
      <c r="BD196" s="260"/>
      <c r="BY196" s="260"/>
      <c r="CJ196" s="260"/>
      <c r="CN196" s="170"/>
      <c r="CP196" s="260"/>
      <c r="CS196" s="260"/>
      <c r="CV196" s="260"/>
      <c r="CY196" s="260"/>
      <c r="DB196" s="260"/>
    </row>
    <row r="197" spans="1:106" s="144" customFormat="1" x14ac:dyDescent="0.25">
      <c r="A197" s="181"/>
      <c r="C197" s="133"/>
      <c r="L197" s="260"/>
      <c r="X197" s="260"/>
      <c r="Y197" s="170"/>
      <c r="AJ197" s="260"/>
      <c r="BD197" s="260"/>
      <c r="BY197" s="260"/>
      <c r="CJ197" s="260"/>
      <c r="CN197" s="170"/>
      <c r="CP197" s="260"/>
      <c r="CS197" s="260"/>
      <c r="CV197" s="260"/>
      <c r="CY197" s="260"/>
      <c r="DB197" s="260"/>
    </row>
    <row r="198" spans="1:106" s="144" customFormat="1" x14ac:dyDescent="0.25">
      <c r="A198" s="181"/>
      <c r="C198" s="133"/>
      <c r="L198" s="260"/>
      <c r="X198" s="260"/>
      <c r="Y198" s="170"/>
      <c r="AJ198" s="260"/>
      <c r="BD198" s="260"/>
      <c r="BY198" s="260"/>
      <c r="CJ198" s="260"/>
      <c r="CN198" s="170"/>
      <c r="CP198" s="260"/>
      <c r="CS198" s="260"/>
      <c r="CV198" s="260"/>
      <c r="CY198" s="260"/>
      <c r="DB198" s="260"/>
    </row>
    <row r="199" spans="1:106" s="144" customFormat="1" x14ac:dyDescent="0.25">
      <c r="A199" s="181"/>
      <c r="C199" s="133"/>
      <c r="L199" s="260"/>
      <c r="X199" s="260"/>
      <c r="Y199" s="170"/>
      <c r="AJ199" s="260"/>
      <c r="BD199" s="260"/>
      <c r="BY199" s="260"/>
      <c r="CJ199" s="260"/>
      <c r="CN199" s="170"/>
      <c r="CP199" s="260"/>
      <c r="CS199" s="260"/>
      <c r="CV199" s="260"/>
      <c r="CY199" s="260"/>
      <c r="DB199" s="260"/>
    </row>
    <row r="200" spans="1:106" s="144" customFormat="1" x14ac:dyDescent="0.25">
      <c r="A200" s="181"/>
      <c r="C200" s="133"/>
      <c r="L200" s="260"/>
      <c r="X200" s="260"/>
      <c r="Y200" s="170"/>
      <c r="AJ200" s="260"/>
      <c r="BD200" s="260"/>
      <c r="BY200" s="260"/>
      <c r="CJ200" s="260"/>
      <c r="CN200" s="170"/>
      <c r="CP200" s="260"/>
      <c r="CS200" s="260"/>
      <c r="CV200" s="260"/>
      <c r="CY200" s="260"/>
      <c r="DB200" s="260"/>
    </row>
    <row r="201" spans="1:106" s="144" customFormat="1" x14ac:dyDescent="0.25">
      <c r="A201" s="181"/>
      <c r="C201" s="133"/>
      <c r="L201" s="260"/>
      <c r="X201" s="260"/>
      <c r="Y201" s="170"/>
      <c r="AJ201" s="260"/>
      <c r="BD201" s="260"/>
      <c r="BY201" s="260"/>
      <c r="CJ201" s="260"/>
      <c r="CN201" s="170"/>
      <c r="CP201" s="260"/>
      <c r="CS201" s="260"/>
      <c r="CV201" s="260"/>
      <c r="CY201" s="260"/>
      <c r="DB201" s="260"/>
    </row>
    <row r="202" spans="1:106" s="144" customFormat="1" x14ac:dyDescent="0.25">
      <c r="A202" s="181"/>
      <c r="C202" s="133"/>
      <c r="L202" s="260"/>
      <c r="X202" s="260"/>
      <c r="Y202" s="170"/>
      <c r="AJ202" s="260"/>
      <c r="BD202" s="260"/>
      <c r="BY202" s="260"/>
      <c r="CJ202" s="260"/>
      <c r="CN202" s="170"/>
      <c r="CP202" s="260"/>
      <c r="CS202" s="260"/>
      <c r="CV202" s="260"/>
      <c r="CY202" s="260"/>
      <c r="DB202" s="260"/>
    </row>
    <row r="203" spans="1:106" s="144" customFormat="1" x14ac:dyDescent="0.25">
      <c r="A203" s="181"/>
      <c r="C203" s="133"/>
      <c r="L203" s="260"/>
      <c r="X203" s="260"/>
      <c r="Y203" s="170"/>
      <c r="AJ203" s="260"/>
      <c r="BD203" s="260"/>
      <c r="BY203" s="260"/>
      <c r="CJ203" s="260"/>
      <c r="CN203" s="170"/>
      <c r="CP203" s="260"/>
      <c r="CS203" s="260"/>
      <c r="CV203" s="260"/>
      <c r="CY203" s="260"/>
      <c r="DB203" s="260"/>
    </row>
    <row r="204" spans="1:106" s="144" customFormat="1" x14ac:dyDescent="0.25">
      <c r="A204" s="181"/>
      <c r="C204" s="133"/>
      <c r="L204" s="260"/>
      <c r="X204" s="260"/>
      <c r="Y204" s="170"/>
      <c r="AJ204" s="260"/>
      <c r="BD204" s="260"/>
      <c r="BY204" s="260"/>
      <c r="CJ204" s="260"/>
      <c r="CN204" s="170"/>
      <c r="CP204" s="260"/>
      <c r="CS204" s="260"/>
      <c r="CV204" s="260"/>
      <c r="CY204" s="260"/>
      <c r="DB204" s="260"/>
    </row>
    <row r="205" spans="1:106" s="144" customFormat="1" x14ac:dyDescent="0.25">
      <c r="A205" s="181"/>
      <c r="C205" s="133"/>
      <c r="L205" s="260"/>
      <c r="X205" s="260"/>
      <c r="Y205" s="170"/>
      <c r="AJ205" s="260"/>
      <c r="BD205" s="260"/>
      <c r="BY205" s="260"/>
      <c r="CJ205" s="260"/>
      <c r="CN205" s="170"/>
      <c r="CP205" s="260"/>
      <c r="CS205" s="260"/>
      <c r="CV205" s="260"/>
      <c r="CY205" s="260"/>
      <c r="DB205" s="260"/>
    </row>
    <row r="206" spans="1:106" s="144" customFormat="1" x14ac:dyDescent="0.25">
      <c r="A206" s="181"/>
      <c r="C206" s="133"/>
      <c r="L206" s="260"/>
      <c r="X206" s="260"/>
      <c r="Y206" s="170"/>
      <c r="AJ206" s="260"/>
      <c r="BD206" s="260"/>
      <c r="BY206" s="260"/>
      <c r="CJ206" s="260"/>
      <c r="CN206" s="170"/>
      <c r="CP206" s="260"/>
      <c r="CS206" s="260"/>
      <c r="CV206" s="260"/>
      <c r="CY206" s="260"/>
      <c r="DB206" s="260"/>
    </row>
    <row r="207" spans="1:106" s="144" customFormat="1" x14ac:dyDescent="0.25">
      <c r="A207" s="181"/>
      <c r="C207" s="133"/>
      <c r="L207" s="260"/>
      <c r="X207" s="260"/>
      <c r="Y207" s="170"/>
      <c r="AJ207" s="260"/>
      <c r="BD207" s="260"/>
      <c r="BY207" s="260"/>
      <c r="CJ207" s="260"/>
      <c r="CN207" s="170"/>
      <c r="CP207" s="260"/>
      <c r="CS207" s="260"/>
      <c r="CV207" s="260"/>
      <c r="CY207" s="260"/>
      <c r="DB207" s="260"/>
    </row>
    <row r="208" spans="1:106" s="144" customFormat="1" x14ac:dyDescent="0.25">
      <c r="A208" s="181"/>
      <c r="C208" s="133"/>
      <c r="L208" s="260"/>
      <c r="X208" s="260"/>
      <c r="Y208" s="170"/>
      <c r="AJ208" s="260"/>
      <c r="BD208" s="260"/>
      <c r="BY208" s="260"/>
      <c r="CJ208" s="260"/>
      <c r="CN208" s="170"/>
      <c r="CP208" s="260"/>
      <c r="CS208" s="260"/>
      <c r="CV208" s="260"/>
      <c r="CY208" s="260"/>
      <c r="DB208" s="260"/>
    </row>
    <row r="209" spans="1:106" s="144" customFormat="1" x14ac:dyDescent="0.25">
      <c r="A209" s="181"/>
      <c r="C209" s="133"/>
      <c r="L209" s="260"/>
      <c r="X209" s="260"/>
      <c r="Y209" s="170"/>
      <c r="AJ209" s="260"/>
      <c r="BD209" s="260"/>
      <c r="BY209" s="260"/>
      <c r="CJ209" s="260"/>
      <c r="CN209" s="170"/>
      <c r="CP209" s="260"/>
      <c r="CS209" s="260"/>
      <c r="CV209" s="260"/>
      <c r="CY209" s="260"/>
      <c r="DB209" s="260"/>
    </row>
    <row r="210" spans="1:106" s="144" customFormat="1" x14ac:dyDescent="0.25">
      <c r="A210" s="181"/>
      <c r="C210" s="133"/>
      <c r="L210" s="260"/>
      <c r="X210" s="260"/>
      <c r="Y210" s="170"/>
      <c r="AJ210" s="260"/>
      <c r="BD210" s="260"/>
      <c r="BY210" s="260"/>
      <c r="CJ210" s="260"/>
      <c r="CN210" s="170"/>
      <c r="CP210" s="260"/>
      <c r="CS210" s="260"/>
      <c r="CV210" s="260"/>
      <c r="CY210" s="260"/>
      <c r="DB210" s="260"/>
    </row>
    <row r="211" spans="1:106" s="144" customFormat="1" x14ac:dyDescent="0.25">
      <c r="A211" s="181"/>
      <c r="C211" s="133"/>
      <c r="L211" s="260"/>
      <c r="X211" s="260"/>
      <c r="Y211" s="170"/>
      <c r="AJ211" s="260"/>
      <c r="BD211" s="260"/>
      <c r="BY211" s="260"/>
      <c r="CJ211" s="260"/>
      <c r="CN211" s="170"/>
      <c r="CP211" s="260"/>
      <c r="CS211" s="260"/>
      <c r="CV211" s="260"/>
      <c r="CY211" s="260"/>
      <c r="DB211" s="260"/>
    </row>
    <row r="212" spans="1:106" s="144" customFormat="1" x14ac:dyDescent="0.25">
      <c r="A212" s="181"/>
      <c r="C212" s="133"/>
      <c r="L212" s="260"/>
      <c r="X212" s="260"/>
      <c r="Y212" s="170"/>
      <c r="AJ212" s="260"/>
      <c r="BD212" s="260"/>
      <c r="BY212" s="260"/>
      <c r="CJ212" s="260"/>
      <c r="CN212" s="170"/>
      <c r="CP212" s="260"/>
      <c r="CS212" s="260"/>
      <c r="CV212" s="260"/>
      <c r="CY212" s="260"/>
      <c r="DB212" s="260"/>
    </row>
    <row r="213" spans="1:106" s="144" customFormat="1" x14ac:dyDescent="0.25">
      <c r="A213" s="181"/>
      <c r="C213" s="133"/>
      <c r="L213" s="260"/>
      <c r="X213" s="260"/>
      <c r="Y213" s="170"/>
      <c r="AJ213" s="260"/>
      <c r="BD213" s="260"/>
      <c r="BY213" s="260"/>
      <c r="CJ213" s="260"/>
      <c r="CN213" s="170"/>
      <c r="CP213" s="260"/>
      <c r="CS213" s="260"/>
      <c r="CV213" s="260"/>
      <c r="CY213" s="260"/>
      <c r="DB213" s="260"/>
    </row>
    <row r="214" spans="1:106" s="144" customFormat="1" x14ac:dyDescent="0.25">
      <c r="A214" s="181"/>
      <c r="C214" s="133"/>
      <c r="L214" s="260"/>
      <c r="X214" s="260"/>
      <c r="Y214" s="170"/>
      <c r="AJ214" s="260"/>
      <c r="BD214" s="260"/>
      <c r="BY214" s="260"/>
      <c r="CJ214" s="260"/>
      <c r="CN214" s="170"/>
      <c r="CP214" s="260"/>
      <c r="CS214" s="260"/>
      <c r="CV214" s="260"/>
      <c r="CY214" s="260"/>
      <c r="DB214" s="260"/>
    </row>
    <row r="215" spans="1:106" s="144" customFormat="1" x14ac:dyDescent="0.25">
      <c r="A215" s="181"/>
      <c r="C215" s="133"/>
      <c r="L215" s="260"/>
      <c r="X215" s="260"/>
      <c r="Y215" s="170"/>
      <c r="AJ215" s="260"/>
      <c r="BD215" s="260"/>
      <c r="BY215" s="260"/>
      <c r="CJ215" s="260"/>
      <c r="CN215" s="170"/>
      <c r="CP215" s="260"/>
      <c r="CS215" s="260"/>
      <c r="CV215" s="260"/>
      <c r="CY215" s="260"/>
      <c r="DB215" s="260"/>
    </row>
    <row r="216" spans="1:106" s="144" customFormat="1" x14ac:dyDescent="0.25">
      <c r="A216" s="181"/>
      <c r="C216" s="133"/>
      <c r="L216" s="260"/>
      <c r="X216" s="260"/>
      <c r="Y216" s="170"/>
      <c r="AJ216" s="260"/>
      <c r="BD216" s="260"/>
      <c r="BY216" s="260"/>
      <c r="CJ216" s="260"/>
      <c r="CN216" s="170"/>
      <c r="CP216" s="260"/>
      <c r="CS216" s="260"/>
      <c r="CV216" s="260"/>
      <c r="CY216" s="260"/>
      <c r="DB216" s="260"/>
    </row>
    <row r="217" spans="1:106" s="144" customFormat="1" x14ac:dyDescent="0.25">
      <c r="A217" s="181"/>
      <c r="C217" s="133"/>
      <c r="L217" s="260"/>
      <c r="X217" s="260"/>
      <c r="Y217" s="170"/>
      <c r="AJ217" s="260"/>
      <c r="BD217" s="260"/>
      <c r="BY217" s="260"/>
      <c r="CJ217" s="260"/>
      <c r="CN217" s="170"/>
      <c r="CP217" s="260"/>
      <c r="CS217" s="260"/>
      <c r="CV217" s="260"/>
      <c r="CY217" s="260"/>
      <c r="DB217" s="260"/>
    </row>
    <row r="218" spans="1:106" s="144" customFormat="1" x14ac:dyDescent="0.25">
      <c r="A218" s="181"/>
      <c r="C218" s="133"/>
      <c r="L218" s="260"/>
      <c r="X218" s="260"/>
      <c r="Y218" s="170"/>
      <c r="AJ218" s="260"/>
      <c r="BD218" s="260"/>
      <c r="BY218" s="260"/>
      <c r="CJ218" s="260"/>
      <c r="CN218" s="170"/>
      <c r="CP218" s="260"/>
      <c r="CS218" s="260"/>
      <c r="CV218" s="260"/>
      <c r="CY218" s="260"/>
      <c r="DB218" s="260"/>
    </row>
    <row r="219" spans="1:106" s="144" customFormat="1" x14ac:dyDescent="0.25">
      <c r="A219" s="181"/>
      <c r="C219" s="133"/>
      <c r="L219" s="260"/>
      <c r="X219" s="260"/>
      <c r="Y219" s="170"/>
      <c r="AJ219" s="260"/>
      <c r="BD219" s="260"/>
      <c r="BY219" s="260"/>
      <c r="CJ219" s="260"/>
      <c r="CN219" s="170"/>
      <c r="CP219" s="260"/>
      <c r="CS219" s="260"/>
      <c r="CV219" s="260"/>
      <c r="CY219" s="260"/>
      <c r="DB219" s="260"/>
    </row>
    <row r="220" spans="1:106" s="144" customFormat="1" x14ac:dyDescent="0.25">
      <c r="A220" s="181"/>
      <c r="C220" s="133"/>
      <c r="L220" s="260"/>
      <c r="X220" s="260"/>
      <c r="Y220" s="170"/>
      <c r="AJ220" s="260"/>
      <c r="BD220" s="260"/>
      <c r="BY220" s="260"/>
      <c r="CJ220" s="260"/>
      <c r="CN220" s="170"/>
      <c r="CP220" s="260"/>
      <c r="CS220" s="260"/>
      <c r="CV220" s="260"/>
      <c r="CY220" s="260"/>
      <c r="DB220" s="260"/>
    </row>
    <row r="221" spans="1:106" s="144" customFormat="1" x14ac:dyDescent="0.25">
      <c r="A221" s="181"/>
      <c r="C221" s="133"/>
      <c r="L221" s="260"/>
      <c r="X221" s="260"/>
      <c r="Y221" s="170"/>
      <c r="AJ221" s="260"/>
      <c r="BD221" s="260"/>
      <c r="BY221" s="260"/>
      <c r="CJ221" s="260"/>
      <c r="CN221" s="170"/>
      <c r="CP221" s="260"/>
      <c r="CS221" s="260"/>
      <c r="CV221" s="260"/>
      <c r="CY221" s="260"/>
      <c r="DB221" s="260"/>
    </row>
    <row r="222" spans="1:106" s="144" customFormat="1" x14ac:dyDescent="0.25">
      <c r="A222" s="181"/>
      <c r="C222" s="133"/>
      <c r="L222" s="260"/>
      <c r="X222" s="260"/>
      <c r="Y222" s="170"/>
      <c r="AJ222" s="260"/>
      <c r="BD222" s="260"/>
      <c r="BY222" s="260"/>
      <c r="CJ222" s="260"/>
      <c r="CN222" s="170"/>
      <c r="CP222" s="260"/>
      <c r="CS222" s="260"/>
      <c r="CV222" s="260"/>
      <c r="CY222" s="260"/>
      <c r="DB222" s="260"/>
    </row>
    <row r="223" spans="1:106" s="144" customFormat="1" x14ac:dyDescent="0.25">
      <c r="A223" s="181"/>
      <c r="C223" s="133"/>
      <c r="L223" s="260"/>
      <c r="X223" s="260"/>
      <c r="Y223" s="170"/>
      <c r="AJ223" s="260"/>
      <c r="BD223" s="260"/>
      <c r="BY223" s="260"/>
      <c r="CJ223" s="260"/>
      <c r="CN223" s="170"/>
      <c r="CP223" s="260"/>
      <c r="CS223" s="260"/>
      <c r="CV223" s="260"/>
      <c r="CY223" s="260"/>
      <c r="DB223" s="260"/>
    </row>
    <row r="224" spans="1:106" s="144" customFormat="1" x14ac:dyDescent="0.25">
      <c r="A224" s="181"/>
      <c r="C224" s="133"/>
      <c r="L224" s="260"/>
      <c r="X224" s="260"/>
      <c r="Y224" s="170"/>
      <c r="AJ224" s="260"/>
      <c r="BD224" s="260"/>
      <c r="BY224" s="260"/>
      <c r="CJ224" s="260"/>
      <c r="CN224" s="170"/>
      <c r="CP224" s="260"/>
      <c r="CS224" s="260"/>
      <c r="CV224" s="260"/>
      <c r="CY224" s="260"/>
      <c r="DB224" s="260"/>
    </row>
    <row r="225" spans="1:106" s="144" customFormat="1" x14ac:dyDescent="0.25">
      <c r="A225" s="181"/>
      <c r="C225" s="133"/>
      <c r="L225" s="260"/>
      <c r="X225" s="260"/>
      <c r="Y225" s="170"/>
      <c r="AJ225" s="260"/>
      <c r="BD225" s="260"/>
      <c r="BY225" s="260"/>
      <c r="CJ225" s="260"/>
      <c r="CN225" s="170"/>
      <c r="CP225" s="260"/>
      <c r="CS225" s="260"/>
      <c r="CV225" s="260"/>
      <c r="CY225" s="260"/>
      <c r="DB225" s="260"/>
    </row>
    <row r="226" spans="1:106" s="144" customFormat="1" x14ac:dyDescent="0.25">
      <c r="A226" s="181"/>
      <c r="C226" s="133"/>
      <c r="L226" s="260"/>
      <c r="X226" s="260"/>
      <c r="Y226" s="170"/>
      <c r="AJ226" s="260"/>
      <c r="BD226" s="260"/>
      <c r="BY226" s="260"/>
      <c r="CJ226" s="260"/>
      <c r="CN226" s="170"/>
      <c r="CP226" s="260"/>
      <c r="CS226" s="260"/>
      <c r="CV226" s="260"/>
      <c r="CY226" s="260"/>
      <c r="DB226" s="260"/>
    </row>
    <row r="227" spans="1:106" s="144" customFormat="1" x14ac:dyDescent="0.25">
      <c r="A227" s="181"/>
      <c r="C227" s="133"/>
      <c r="L227" s="260"/>
      <c r="X227" s="260"/>
      <c r="Y227" s="170"/>
      <c r="AJ227" s="260"/>
      <c r="BD227" s="260"/>
      <c r="BY227" s="260"/>
      <c r="CJ227" s="260"/>
      <c r="CN227" s="170"/>
      <c r="CP227" s="260"/>
      <c r="CS227" s="260"/>
      <c r="CV227" s="260"/>
      <c r="CY227" s="260"/>
      <c r="DB227" s="260"/>
    </row>
    <row r="228" spans="1:106" s="144" customFormat="1" x14ac:dyDescent="0.25">
      <c r="A228" s="181"/>
      <c r="C228" s="133"/>
      <c r="L228" s="260"/>
      <c r="X228" s="260"/>
      <c r="Y228" s="170"/>
      <c r="AJ228" s="260"/>
      <c r="BD228" s="260"/>
      <c r="BY228" s="260"/>
      <c r="CJ228" s="260"/>
      <c r="CN228" s="170"/>
      <c r="CP228" s="260"/>
      <c r="CS228" s="260"/>
      <c r="CV228" s="260"/>
      <c r="CY228" s="260"/>
      <c r="DB228" s="260"/>
    </row>
    <row r="229" spans="1:106" s="144" customFormat="1" x14ac:dyDescent="0.25">
      <c r="A229" s="181"/>
      <c r="C229" s="133"/>
      <c r="L229" s="260"/>
      <c r="X229" s="260"/>
      <c r="Y229" s="170"/>
      <c r="AJ229" s="260"/>
      <c r="BD229" s="260"/>
      <c r="BY229" s="260"/>
      <c r="CJ229" s="260"/>
      <c r="CN229" s="170"/>
      <c r="CP229" s="260"/>
      <c r="CS229" s="260"/>
      <c r="CV229" s="260"/>
      <c r="CY229" s="260"/>
      <c r="DB229" s="260"/>
    </row>
    <row r="230" spans="1:106" s="144" customFormat="1" x14ac:dyDescent="0.25">
      <c r="A230" s="181"/>
      <c r="C230" s="133"/>
      <c r="L230" s="260"/>
      <c r="X230" s="260"/>
      <c r="Y230" s="170"/>
      <c r="AJ230" s="260"/>
      <c r="BD230" s="260"/>
      <c r="BY230" s="260"/>
      <c r="CJ230" s="260"/>
      <c r="CN230" s="170"/>
      <c r="CP230" s="260"/>
      <c r="CS230" s="260"/>
      <c r="CV230" s="260"/>
      <c r="CY230" s="260"/>
      <c r="DB230" s="260"/>
    </row>
    <row r="231" spans="1:106" s="144" customFormat="1" x14ac:dyDescent="0.25">
      <c r="A231" s="181"/>
      <c r="C231" s="133"/>
      <c r="L231" s="260"/>
      <c r="X231" s="260"/>
      <c r="Y231" s="170"/>
      <c r="AJ231" s="260"/>
      <c r="BD231" s="260"/>
      <c r="BY231" s="260"/>
      <c r="CJ231" s="260"/>
      <c r="CN231" s="170"/>
      <c r="CP231" s="260"/>
      <c r="CS231" s="260"/>
      <c r="CV231" s="260"/>
      <c r="CY231" s="260"/>
      <c r="DB231" s="260"/>
    </row>
    <row r="232" spans="1:106" s="144" customFormat="1" x14ac:dyDescent="0.25">
      <c r="A232" s="181"/>
      <c r="C232" s="133"/>
      <c r="L232" s="260"/>
      <c r="X232" s="260"/>
      <c r="Y232" s="170"/>
      <c r="AJ232" s="260"/>
      <c r="BD232" s="260"/>
      <c r="BY232" s="260"/>
      <c r="CJ232" s="260"/>
      <c r="CN232" s="170"/>
      <c r="CP232" s="260"/>
      <c r="CS232" s="260"/>
      <c r="CV232" s="260"/>
      <c r="CY232" s="260"/>
      <c r="DB232" s="260"/>
    </row>
    <row r="233" spans="1:106" s="144" customFormat="1" x14ac:dyDescent="0.25">
      <c r="A233" s="181"/>
      <c r="C233" s="133"/>
      <c r="L233" s="260"/>
      <c r="X233" s="260"/>
      <c r="Y233" s="170"/>
      <c r="AJ233" s="260"/>
      <c r="BD233" s="260"/>
      <c r="BY233" s="260"/>
      <c r="CJ233" s="260"/>
      <c r="CN233" s="170"/>
      <c r="CP233" s="260"/>
      <c r="CS233" s="260"/>
      <c r="CV233" s="260"/>
      <c r="CY233" s="260"/>
      <c r="DB233" s="260"/>
    </row>
    <row r="234" spans="1:106" s="144" customFormat="1" x14ac:dyDescent="0.25">
      <c r="A234" s="181"/>
      <c r="C234" s="133"/>
      <c r="L234" s="260"/>
      <c r="X234" s="260"/>
      <c r="Y234" s="170"/>
      <c r="AJ234" s="260"/>
      <c r="BD234" s="260"/>
      <c r="BY234" s="260"/>
      <c r="CJ234" s="260"/>
      <c r="CN234" s="170"/>
      <c r="CP234" s="260"/>
      <c r="CS234" s="260"/>
      <c r="CV234" s="260"/>
      <c r="CY234" s="260"/>
      <c r="DB234" s="260"/>
    </row>
    <row r="235" spans="1:106" s="144" customFormat="1" x14ac:dyDescent="0.25">
      <c r="A235" s="181"/>
      <c r="C235" s="133"/>
      <c r="L235" s="260"/>
      <c r="X235" s="260"/>
      <c r="Y235" s="170"/>
      <c r="AJ235" s="260"/>
      <c r="BD235" s="260"/>
      <c r="BY235" s="260"/>
      <c r="CJ235" s="260"/>
      <c r="CN235" s="170"/>
      <c r="CP235" s="260"/>
      <c r="CS235" s="260"/>
      <c r="CV235" s="260"/>
      <c r="CY235" s="260"/>
      <c r="DB235" s="260"/>
    </row>
    <row r="236" spans="1:106" s="144" customFormat="1" x14ac:dyDescent="0.25">
      <c r="A236" s="181"/>
      <c r="C236" s="133"/>
      <c r="L236" s="260"/>
      <c r="X236" s="260"/>
      <c r="Y236" s="170"/>
      <c r="AJ236" s="260"/>
      <c r="BD236" s="260"/>
      <c r="BY236" s="260"/>
      <c r="CJ236" s="260"/>
      <c r="CN236" s="170"/>
      <c r="CP236" s="260"/>
      <c r="CS236" s="260"/>
      <c r="CV236" s="260"/>
      <c r="CY236" s="260"/>
      <c r="DB236" s="260"/>
    </row>
    <row r="237" spans="1:106" s="144" customFormat="1" x14ac:dyDescent="0.25">
      <c r="A237" s="181"/>
      <c r="C237" s="133"/>
      <c r="L237" s="260"/>
      <c r="X237" s="260"/>
      <c r="Y237" s="170"/>
      <c r="AJ237" s="260"/>
      <c r="BD237" s="260"/>
      <c r="BY237" s="260"/>
      <c r="CJ237" s="260"/>
      <c r="CN237" s="170"/>
      <c r="CP237" s="260"/>
      <c r="CS237" s="260"/>
      <c r="CV237" s="260"/>
      <c r="CY237" s="260"/>
      <c r="DB237" s="260"/>
    </row>
    <row r="238" spans="1:106" s="144" customFormat="1" x14ac:dyDescent="0.25">
      <c r="A238" s="181"/>
      <c r="C238" s="133"/>
      <c r="L238" s="260"/>
      <c r="X238" s="260"/>
      <c r="Y238" s="170"/>
      <c r="AJ238" s="260"/>
      <c r="BD238" s="260"/>
      <c r="BY238" s="260"/>
      <c r="CJ238" s="260"/>
      <c r="CN238" s="170"/>
      <c r="CP238" s="260"/>
      <c r="CS238" s="260"/>
      <c r="CV238" s="260"/>
      <c r="CY238" s="260"/>
      <c r="DB238" s="260"/>
    </row>
    <row r="239" spans="1:106" s="144" customFormat="1" x14ac:dyDescent="0.25">
      <c r="A239" s="181"/>
      <c r="C239" s="133"/>
      <c r="L239" s="260"/>
      <c r="X239" s="260"/>
      <c r="Y239" s="170"/>
      <c r="AJ239" s="260"/>
      <c r="BD239" s="260"/>
      <c r="BY239" s="260"/>
      <c r="CJ239" s="260"/>
      <c r="CN239" s="170"/>
      <c r="CP239" s="260"/>
      <c r="CS239" s="260"/>
      <c r="CV239" s="260"/>
      <c r="CY239" s="260"/>
      <c r="DB239" s="260"/>
    </row>
    <row r="240" spans="1:106" s="144" customFormat="1" x14ac:dyDescent="0.25">
      <c r="A240" s="181"/>
      <c r="C240" s="133"/>
      <c r="L240" s="260"/>
      <c r="X240" s="260"/>
      <c r="Y240" s="170"/>
      <c r="AJ240" s="260"/>
      <c r="BD240" s="260"/>
      <c r="BY240" s="260"/>
      <c r="CJ240" s="260"/>
      <c r="CN240" s="170"/>
      <c r="CP240" s="260"/>
      <c r="CS240" s="260"/>
      <c r="CV240" s="260"/>
      <c r="CY240" s="260"/>
      <c r="DB240" s="260"/>
    </row>
    <row r="241" spans="1:106" s="144" customFormat="1" x14ac:dyDescent="0.25">
      <c r="A241" s="181"/>
      <c r="C241" s="133"/>
      <c r="L241" s="260"/>
      <c r="X241" s="260"/>
      <c r="Y241" s="170"/>
      <c r="AJ241" s="260"/>
      <c r="BD241" s="260"/>
      <c r="BY241" s="260"/>
      <c r="CJ241" s="260"/>
      <c r="CN241" s="170"/>
      <c r="CP241" s="260"/>
      <c r="CS241" s="260"/>
      <c r="CV241" s="260"/>
      <c r="CY241" s="260"/>
      <c r="DB241" s="260"/>
    </row>
    <row r="242" spans="1:106" s="144" customFormat="1" x14ac:dyDescent="0.25">
      <c r="A242" s="181"/>
      <c r="C242" s="133"/>
      <c r="L242" s="260"/>
      <c r="X242" s="260"/>
      <c r="Y242" s="170"/>
      <c r="AJ242" s="260"/>
      <c r="BD242" s="260"/>
      <c r="BY242" s="260"/>
      <c r="CJ242" s="260"/>
      <c r="CN242" s="170"/>
      <c r="CP242" s="260"/>
      <c r="CS242" s="260"/>
      <c r="CV242" s="260"/>
      <c r="CY242" s="260"/>
      <c r="DB242" s="260"/>
    </row>
    <row r="243" spans="1:106" s="144" customFormat="1" x14ac:dyDescent="0.25">
      <c r="A243" s="181"/>
      <c r="C243" s="133"/>
      <c r="L243" s="260"/>
      <c r="X243" s="260"/>
      <c r="Y243" s="170"/>
      <c r="AJ243" s="260"/>
      <c r="BD243" s="260"/>
      <c r="BY243" s="260"/>
      <c r="CJ243" s="260"/>
      <c r="CN243" s="170"/>
      <c r="CP243" s="260"/>
      <c r="CS243" s="260"/>
      <c r="CV243" s="260"/>
      <c r="CY243" s="260"/>
      <c r="DB243" s="260"/>
    </row>
    <row r="244" spans="1:106" s="144" customFormat="1" x14ac:dyDescent="0.25">
      <c r="A244" s="181"/>
      <c r="C244" s="133"/>
      <c r="L244" s="260"/>
      <c r="X244" s="260"/>
      <c r="Y244" s="170"/>
      <c r="AJ244" s="260"/>
      <c r="BD244" s="260"/>
      <c r="BY244" s="260"/>
      <c r="CJ244" s="260"/>
      <c r="CN244" s="170"/>
      <c r="CP244" s="260"/>
      <c r="CS244" s="260"/>
      <c r="CV244" s="260"/>
      <c r="CY244" s="260"/>
      <c r="DB244" s="260"/>
    </row>
    <row r="245" spans="1:106" s="144" customFormat="1" x14ac:dyDescent="0.25">
      <c r="A245" s="181"/>
      <c r="C245" s="133"/>
      <c r="L245" s="260"/>
      <c r="X245" s="260"/>
      <c r="Y245" s="170"/>
      <c r="AJ245" s="260"/>
      <c r="BD245" s="260"/>
      <c r="BY245" s="260"/>
      <c r="CJ245" s="260"/>
      <c r="CN245" s="170"/>
      <c r="CP245" s="260"/>
      <c r="CS245" s="260"/>
      <c r="CV245" s="260"/>
      <c r="CY245" s="260"/>
      <c r="DB245" s="260"/>
    </row>
    <row r="246" spans="1:106" s="144" customFormat="1" x14ac:dyDescent="0.25">
      <c r="A246" s="181"/>
      <c r="C246" s="133"/>
      <c r="L246" s="260"/>
      <c r="X246" s="260"/>
      <c r="Y246" s="170"/>
      <c r="AJ246" s="260"/>
      <c r="BD246" s="260"/>
      <c r="BY246" s="260"/>
      <c r="CJ246" s="260"/>
      <c r="CN246" s="170"/>
      <c r="CP246" s="260"/>
      <c r="CS246" s="260"/>
      <c r="CV246" s="260"/>
      <c r="CY246" s="260"/>
      <c r="DB246" s="260"/>
    </row>
    <row r="247" spans="1:106" s="144" customFormat="1" x14ac:dyDescent="0.25">
      <c r="A247" s="181"/>
      <c r="C247" s="133"/>
      <c r="L247" s="260"/>
      <c r="X247" s="260"/>
      <c r="Y247" s="170"/>
      <c r="AJ247" s="260"/>
      <c r="BD247" s="260"/>
      <c r="BY247" s="260"/>
      <c r="CJ247" s="260"/>
      <c r="CN247" s="170"/>
      <c r="CP247" s="260"/>
      <c r="CS247" s="260"/>
      <c r="CV247" s="260"/>
      <c r="CY247" s="260"/>
      <c r="DB247" s="260"/>
    </row>
    <row r="248" spans="1:106" s="144" customFormat="1" x14ac:dyDescent="0.25">
      <c r="A248" s="181"/>
      <c r="C248" s="133"/>
      <c r="L248" s="260"/>
      <c r="X248" s="260"/>
      <c r="Y248" s="170"/>
      <c r="AJ248" s="260"/>
      <c r="BD248" s="260"/>
      <c r="BY248" s="260"/>
      <c r="CJ248" s="260"/>
      <c r="CN248" s="170"/>
      <c r="CP248" s="260"/>
      <c r="CS248" s="260"/>
      <c r="CV248" s="260"/>
      <c r="CY248" s="260"/>
      <c r="DB248" s="260"/>
    </row>
    <row r="249" spans="1:106" s="144" customFormat="1" x14ac:dyDescent="0.25">
      <c r="A249" s="181"/>
      <c r="C249" s="133"/>
      <c r="L249" s="260"/>
      <c r="X249" s="260"/>
      <c r="Y249" s="170"/>
      <c r="AJ249" s="260"/>
      <c r="BD249" s="260"/>
      <c r="BY249" s="260"/>
      <c r="CJ249" s="260"/>
      <c r="CN249" s="170"/>
      <c r="CP249" s="260"/>
      <c r="CS249" s="260"/>
      <c r="CV249" s="260"/>
      <c r="CY249" s="260"/>
      <c r="DB249" s="260"/>
    </row>
    <row r="250" spans="1:106" s="144" customFormat="1" x14ac:dyDescent="0.25">
      <c r="A250" s="181"/>
      <c r="C250" s="133"/>
      <c r="L250" s="260"/>
      <c r="X250" s="260"/>
      <c r="Y250" s="170"/>
      <c r="AJ250" s="260"/>
      <c r="BD250" s="260"/>
      <c r="BY250" s="260"/>
      <c r="CJ250" s="260"/>
      <c r="CN250" s="170"/>
      <c r="CP250" s="260"/>
      <c r="CS250" s="260"/>
      <c r="CV250" s="260"/>
      <c r="CY250" s="260"/>
      <c r="DB250" s="260"/>
    </row>
    <row r="251" spans="1:106" s="144" customFormat="1" x14ac:dyDescent="0.25">
      <c r="A251" s="181"/>
      <c r="C251" s="133"/>
      <c r="L251" s="260"/>
      <c r="X251" s="260"/>
      <c r="Y251" s="170"/>
      <c r="AJ251" s="260"/>
      <c r="BD251" s="260"/>
      <c r="BY251" s="260"/>
      <c r="CJ251" s="260"/>
      <c r="CN251" s="170"/>
      <c r="CP251" s="260"/>
      <c r="CS251" s="260"/>
      <c r="CV251" s="260"/>
      <c r="CY251" s="260"/>
      <c r="DB251" s="260"/>
    </row>
    <row r="252" spans="1:106" s="144" customFormat="1" x14ac:dyDescent="0.25">
      <c r="A252" s="181"/>
      <c r="C252" s="133"/>
      <c r="L252" s="260"/>
      <c r="X252" s="260"/>
      <c r="Y252" s="170"/>
      <c r="AJ252" s="260"/>
      <c r="BD252" s="260"/>
      <c r="BY252" s="260"/>
      <c r="CJ252" s="260"/>
      <c r="CN252" s="170"/>
      <c r="CP252" s="260"/>
      <c r="CS252" s="260"/>
      <c r="CV252" s="260"/>
      <c r="CY252" s="260"/>
      <c r="DB252" s="260"/>
    </row>
    <row r="253" spans="1:106" s="144" customFormat="1" x14ac:dyDescent="0.25">
      <c r="A253" s="181"/>
      <c r="C253" s="133"/>
      <c r="L253" s="260"/>
      <c r="X253" s="260"/>
      <c r="Y253" s="170"/>
      <c r="AJ253" s="260"/>
      <c r="BD253" s="260"/>
      <c r="BY253" s="260"/>
      <c r="CJ253" s="260"/>
      <c r="CN253" s="170"/>
      <c r="CP253" s="260"/>
      <c r="CS253" s="260"/>
      <c r="CV253" s="260"/>
      <c r="CY253" s="260"/>
      <c r="DB253" s="260"/>
    </row>
    <row r="254" spans="1:106" s="144" customFormat="1" x14ac:dyDescent="0.25">
      <c r="A254" s="181"/>
      <c r="C254" s="133"/>
      <c r="L254" s="260"/>
      <c r="X254" s="260"/>
      <c r="Y254" s="170"/>
      <c r="AJ254" s="260"/>
      <c r="BD254" s="260"/>
      <c r="BY254" s="260"/>
      <c r="CJ254" s="260"/>
      <c r="CN254" s="170"/>
      <c r="CP254" s="260"/>
      <c r="CS254" s="260"/>
      <c r="CV254" s="260"/>
      <c r="CY254" s="260"/>
      <c r="DB254" s="260"/>
    </row>
    <row r="255" spans="1:106" s="144" customFormat="1" x14ac:dyDescent="0.25">
      <c r="A255" s="181"/>
      <c r="C255" s="133"/>
      <c r="L255" s="260"/>
      <c r="X255" s="260"/>
      <c r="Y255" s="170"/>
      <c r="AJ255" s="260"/>
      <c r="BD255" s="260"/>
      <c r="BY255" s="260"/>
      <c r="CJ255" s="260"/>
      <c r="CN255" s="170"/>
      <c r="CP255" s="260"/>
      <c r="CS255" s="260"/>
      <c r="CV255" s="260"/>
      <c r="CY255" s="260"/>
      <c r="DB255" s="260"/>
    </row>
    <row r="256" spans="1:106" s="144" customFormat="1" x14ac:dyDescent="0.25">
      <c r="A256" s="181"/>
      <c r="C256" s="133"/>
      <c r="L256" s="260"/>
      <c r="X256" s="260"/>
      <c r="Y256" s="170"/>
      <c r="AJ256" s="260"/>
      <c r="BD256" s="260"/>
      <c r="BY256" s="260"/>
      <c r="CJ256" s="260"/>
      <c r="CN256" s="170"/>
      <c r="CP256" s="260"/>
      <c r="CS256" s="260"/>
      <c r="CV256" s="260"/>
      <c r="CY256" s="260"/>
      <c r="DB256" s="260"/>
    </row>
    <row r="257" spans="1:106" s="144" customFormat="1" x14ac:dyDescent="0.25">
      <c r="A257" s="181"/>
      <c r="C257" s="133"/>
      <c r="L257" s="260"/>
      <c r="X257" s="260"/>
      <c r="Y257" s="170"/>
      <c r="AJ257" s="260"/>
      <c r="BD257" s="260"/>
      <c r="BY257" s="260"/>
      <c r="CJ257" s="260"/>
      <c r="CN257" s="170"/>
      <c r="CP257" s="260"/>
      <c r="CS257" s="260"/>
      <c r="CV257" s="260"/>
      <c r="CY257" s="260"/>
      <c r="DB257" s="260"/>
    </row>
    <row r="258" spans="1:106" s="144" customFormat="1" x14ac:dyDescent="0.25">
      <c r="A258" s="181"/>
      <c r="C258" s="133"/>
      <c r="L258" s="260"/>
      <c r="X258" s="260"/>
      <c r="Y258" s="170"/>
      <c r="AJ258" s="260"/>
      <c r="BD258" s="260"/>
      <c r="BY258" s="260"/>
      <c r="CJ258" s="260"/>
      <c r="CN258" s="170"/>
      <c r="CP258" s="260"/>
      <c r="CS258" s="260"/>
      <c r="CV258" s="260"/>
      <c r="CY258" s="260"/>
      <c r="DB258" s="260"/>
    </row>
    <row r="259" spans="1:106" s="144" customFormat="1" x14ac:dyDescent="0.25">
      <c r="A259" s="181"/>
      <c r="C259" s="133"/>
      <c r="L259" s="260"/>
      <c r="X259" s="260"/>
      <c r="Y259" s="170"/>
      <c r="AJ259" s="260"/>
      <c r="BD259" s="260"/>
      <c r="BY259" s="260"/>
      <c r="CJ259" s="260"/>
      <c r="CN259" s="170"/>
      <c r="CP259" s="260"/>
      <c r="CS259" s="260"/>
      <c r="CV259" s="260"/>
      <c r="CY259" s="260"/>
      <c r="DB259" s="260"/>
    </row>
    <row r="260" spans="1:106" s="144" customFormat="1" x14ac:dyDescent="0.25">
      <c r="A260" s="181"/>
      <c r="C260" s="133"/>
      <c r="L260" s="260"/>
      <c r="X260" s="260"/>
      <c r="Y260" s="170"/>
      <c r="AJ260" s="260"/>
      <c r="BD260" s="260"/>
      <c r="BY260" s="260"/>
      <c r="CJ260" s="260"/>
      <c r="CN260" s="170"/>
      <c r="CP260" s="260"/>
      <c r="CS260" s="260"/>
      <c r="CV260" s="260"/>
      <c r="CY260" s="260"/>
      <c r="DB260" s="260"/>
    </row>
    <row r="261" spans="1:106" s="144" customFormat="1" x14ac:dyDescent="0.25">
      <c r="A261" s="181"/>
      <c r="C261" s="133"/>
      <c r="L261" s="260"/>
      <c r="X261" s="260"/>
      <c r="Y261" s="170"/>
      <c r="AJ261" s="260"/>
      <c r="BD261" s="260"/>
      <c r="BY261" s="260"/>
      <c r="CJ261" s="260"/>
      <c r="CN261" s="170"/>
      <c r="CP261" s="260"/>
      <c r="CS261" s="260"/>
      <c r="CV261" s="260"/>
      <c r="CY261" s="260"/>
      <c r="DB261" s="260"/>
    </row>
    <row r="262" spans="1:106" s="144" customFormat="1" x14ac:dyDescent="0.25">
      <c r="A262" s="181"/>
      <c r="C262" s="133"/>
      <c r="L262" s="260"/>
      <c r="X262" s="260"/>
      <c r="Y262" s="170"/>
      <c r="AJ262" s="260"/>
      <c r="BD262" s="260"/>
      <c r="BY262" s="260"/>
      <c r="CJ262" s="260"/>
      <c r="CN262" s="170"/>
      <c r="CP262" s="260"/>
      <c r="CS262" s="260"/>
      <c r="CV262" s="260"/>
      <c r="CY262" s="260"/>
      <c r="DB262" s="260"/>
    </row>
    <row r="263" spans="1:106" s="144" customFormat="1" x14ac:dyDescent="0.25">
      <c r="A263" s="181"/>
      <c r="C263" s="133"/>
      <c r="L263" s="260"/>
      <c r="X263" s="260"/>
      <c r="Y263" s="170"/>
      <c r="AJ263" s="260"/>
      <c r="BD263" s="260"/>
      <c r="BY263" s="260"/>
      <c r="CJ263" s="260"/>
      <c r="CN263" s="170"/>
      <c r="CP263" s="260"/>
      <c r="CS263" s="260"/>
      <c r="CV263" s="260"/>
      <c r="CY263" s="260"/>
      <c r="DB263" s="260"/>
    </row>
    <row r="264" spans="1:106" s="144" customFormat="1" x14ac:dyDescent="0.25">
      <c r="A264" s="181"/>
      <c r="C264" s="133"/>
      <c r="L264" s="260"/>
      <c r="X264" s="260"/>
      <c r="Y264" s="170"/>
      <c r="AJ264" s="260"/>
      <c r="BD264" s="260"/>
      <c r="BY264" s="260"/>
      <c r="CJ264" s="260"/>
      <c r="CN264" s="170"/>
      <c r="CP264" s="260"/>
      <c r="CS264" s="260"/>
      <c r="CV264" s="260"/>
      <c r="CY264" s="260"/>
      <c r="DB264" s="260"/>
    </row>
    <row r="265" spans="1:106" s="144" customFormat="1" x14ac:dyDescent="0.25">
      <c r="A265" s="181"/>
      <c r="C265" s="133"/>
      <c r="L265" s="260"/>
      <c r="X265" s="260"/>
      <c r="Y265" s="170"/>
      <c r="AJ265" s="260"/>
      <c r="BD265" s="260"/>
      <c r="BY265" s="260"/>
      <c r="CJ265" s="260"/>
      <c r="CN265" s="170"/>
      <c r="CP265" s="260"/>
      <c r="CS265" s="260"/>
      <c r="CV265" s="260"/>
      <c r="CY265" s="260"/>
      <c r="DB265" s="260"/>
    </row>
    <row r="266" spans="1:106" s="144" customFormat="1" x14ac:dyDescent="0.25">
      <c r="A266" s="181"/>
      <c r="C266" s="133"/>
      <c r="L266" s="260"/>
      <c r="X266" s="260"/>
      <c r="Y266" s="170"/>
      <c r="AJ266" s="260"/>
      <c r="BD266" s="260"/>
      <c r="BY266" s="260"/>
      <c r="CJ266" s="260"/>
      <c r="CN266" s="170"/>
      <c r="CP266" s="260"/>
      <c r="CS266" s="260"/>
      <c r="CV266" s="260"/>
      <c r="CY266" s="260"/>
      <c r="DB266" s="260"/>
    </row>
    <row r="267" spans="1:106" s="144" customFormat="1" x14ac:dyDescent="0.25">
      <c r="A267" s="181"/>
      <c r="C267" s="133"/>
      <c r="L267" s="260"/>
      <c r="X267" s="260"/>
      <c r="Y267" s="170"/>
      <c r="AJ267" s="260"/>
      <c r="BD267" s="260"/>
      <c r="BY267" s="260"/>
      <c r="CJ267" s="260"/>
      <c r="CN267" s="170"/>
      <c r="CP267" s="260"/>
      <c r="CS267" s="260"/>
      <c r="CV267" s="260"/>
      <c r="CY267" s="260"/>
      <c r="DB267" s="260"/>
    </row>
    <row r="268" spans="1:106" s="144" customFormat="1" x14ac:dyDescent="0.25">
      <c r="A268" s="181"/>
      <c r="C268" s="133"/>
      <c r="L268" s="260"/>
      <c r="X268" s="260"/>
      <c r="Y268" s="170"/>
      <c r="AJ268" s="260"/>
      <c r="BD268" s="260"/>
      <c r="BY268" s="260"/>
      <c r="CJ268" s="260"/>
      <c r="CN268" s="170"/>
      <c r="CP268" s="260"/>
      <c r="CS268" s="260"/>
      <c r="CV268" s="260"/>
      <c r="CY268" s="260"/>
      <c r="DB268" s="260"/>
    </row>
    <row r="269" spans="1:106" s="144" customFormat="1" x14ac:dyDescent="0.25">
      <c r="A269" s="181"/>
      <c r="C269" s="133"/>
      <c r="L269" s="260"/>
      <c r="X269" s="260"/>
      <c r="Y269" s="170"/>
      <c r="AJ269" s="260"/>
      <c r="BD269" s="260"/>
      <c r="BY269" s="260"/>
      <c r="CJ269" s="260"/>
      <c r="CN269" s="170"/>
      <c r="CP269" s="260"/>
      <c r="CS269" s="260"/>
      <c r="CV269" s="260"/>
      <c r="CY269" s="260"/>
      <c r="DB269" s="260"/>
    </row>
    <row r="270" spans="1:106" s="144" customFormat="1" x14ac:dyDescent="0.25">
      <c r="A270" s="181"/>
      <c r="C270" s="133"/>
      <c r="L270" s="260"/>
      <c r="X270" s="260"/>
      <c r="Y270" s="170"/>
      <c r="AJ270" s="260"/>
      <c r="BD270" s="260"/>
      <c r="BY270" s="260"/>
      <c r="CJ270" s="260"/>
      <c r="CN270" s="170"/>
      <c r="CP270" s="260"/>
      <c r="CS270" s="260"/>
      <c r="CV270" s="260"/>
      <c r="CY270" s="260"/>
      <c r="DB270" s="260"/>
    </row>
    <row r="271" spans="1:106" s="144" customFormat="1" x14ac:dyDescent="0.25">
      <c r="A271" s="181"/>
      <c r="C271" s="133"/>
      <c r="L271" s="260"/>
      <c r="X271" s="260"/>
      <c r="Y271" s="170"/>
      <c r="AJ271" s="260"/>
      <c r="BD271" s="260"/>
      <c r="BY271" s="260"/>
      <c r="CJ271" s="260"/>
      <c r="CN271" s="170"/>
      <c r="CP271" s="260"/>
      <c r="CS271" s="260"/>
      <c r="CV271" s="260"/>
      <c r="CY271" s="260"/>
      <c r="DB271" s="260"/>
    </row>
    <row r="272" spans="1:106" s="144" customFormat="1" x14ac:dyDescent="0.25">
      <c r="A272" s="181"/>
      <c r="C272" s="133"/>
      <c r="L272" s="260"/>
      <c r="X272" s="260"/>
      <c r="Y272" s="170"/>
      <c r="AJ272" s="260"/>
      <c r="BD272" s="260"/>
      <c r="BY272" s="260"/>
      <c r="CJ272" s="260"/>
      <c r="CN272" s="170"/>
      <c r="CP272" s="260"/>
      <c r="CS272" s="260"/>
      <c r="CV272" s="260"/>
      <c r="CY272" s="260"/>
      <c r="DB272" s="260"/>
    </row>
    <row r="273" spans="1:106" s="144" customFormat="1" x14ac:dyDescent="0.25">
      <c r="A273" s="181"/>
      <c r="C273" s="133"/>
      <c r="L273" s="260"/>
      <c r="X273" s="260"/>
      <c r="Y273" s="170"/>
      <c r="AJ273" s="260"/>
      <c r="BD273" s="260"/>
      <c r="BY273" s="260"/>
      <c r="CJ273" s="260"/>
      <c r="CN273" s="170"/>
      <c r="CP273" s="260"/>
      <c r="CS273" s="260"/>
      <c r="CV273" s="260"/>
      <c r="CY273" s="260"/>
      <c r="DB273" s="260"/>
    </row>
    <row r="274" spans="1:106" s="144" customFormat="1" x14ac:dyDescent="0.25">
      <c r="A274" s="181"/>
      <c r="C274" s="133"/>
      <c r="L274" s="260"/>
      <c r="X274" s="260"/>
      <c r="Y274" s="170"/>
      <c r="AJ274" s="260"/>
      <c r="BD274" s="260"/>
      <c r="BY274" s="260"/>
      <c r="CJ274" s="260"/>
      <c r="CN274" s="170"/>
      <c r="CP274" s="260"/>
      <c r="CS274" s="260"/>
      <c r="CV274" s="260"/>
      <c r="CY274" s="260"/>
      <c r="DB274" s="260"/>
    </row>
    <row r="275" spans="1:106" s="144" customFormat="1" x14ac:dyDescent="0.25">
      <c r="A275" s="181"/>
      <c r="C275" s="133"/>
      <c r="L275" s="260"/>
      <c r="X275" s="260"/>
      <c r="Y275" s="170"/>
      <c r="AJ275" s="260"/>
      <c r="BD275" s="260"/>
      <c r="BY275" s="260"/>
      <c r="CJ275" s="260"/>
      <c r="CN275" s="170"/>
      <c r="CP275" s="260"/>
      <c r="CS275" s="260"/>
      <c r="CV275" s="260"/>
      <c r="CY275" s="260"/>
      <c r="DB275" s="260"/>
    </row>
    <row r="276" spans="1:106" s="144" customFormat="1" x14ac:dyDescent="0.25">
      <c r="A276" s="181"/>
      <c r="C276" s="133"/>
      <c r="L276" s="260"/>
      <c r="X276" s="260"/>
      <c r="Y276" s="170"/>
      <c r="AJ276" s="260"/>
      <c r="BD276" s="260"/>
      <c r="BY276" s="260"/>
      <c r="CJ276" s="260"/>
      <c r="CN276" s="170"/>
      <c r="CP276" s="260"/>
      <c r="CS276" s="260"/>
      <c r="CV276" s="260"/>
      <c r="CY276" s="260"/>
      <c r="DB276" s="260"/>
    </row>
    <row r="277" spans="1:106" s="144" customFormat="1" x14ac:dyDescent="0.25">
      <c r="A277" s="181"/>
      <c r="C277" s="133"/>
      <c r="L277" s="260"/>
      <c r="X277" s="260"/>
      <c r="Y277" s="170"/>
      <c r="AJ277" s="260"/>
      <c r="BD277" s="260"/>
      <c r="BY277" s="260"/>
      <c r="CJ277" s="260"/>
      <c r="CN277" s="170"/>
      <c r="CP277" s="260"/>
      <c r="CS277" s="260"/>
      <c r="CV277" s="260"/>
      <c r="CY277" s="260"/>
      <c r="DB277" s="260"/>
    </row>
    <row r="278" spans="1:106" s="144" customFormat="1" x14ac:dyDescent="0.25">
      <c r="A278" s="181"/>
      <c r="C278" s="133"/>
      <c r="L278" s="260"/>
      <c r="X278" s="260"/>
      <c r="Y278" s="170"/>
      <c r="AJ278" s="260"/>
      <c r="BD278" s="260"/>
      <c r="BY278" s="260"/>
      <c r="CJ278" s="260"/>
      <c r="CN278" s="170"/>
      <c r="CP278" s="260"/>
      <c r="CS278" s="260"/>
      <c r="CV278" s="260"/>
      <c r="CY278" s="260"/>
      <c r="DB278" s="260"/>
    </row>
    <row r="279" spans="1:106" s="144" customFormat="1" x14ac:dyDescent="0.25">
      <c r="A279" s="181"/>
      <c r="C279" s="133"/>
      <c r="L279" s="260"/>
      <c r="X279" s="260"/>
      <c r="Y279" s="170"/>
      <c r="AJ279" s="260"/>
      <c r="BD279" s="260"/>
      <c r="BY279" s="260"/>
      <c r="CJ279" s="260"/>
      <c r="CN279" s="170"/>
      <c r="CP279" s="260"/>
      <c r="CS279" s="260"/>
      <c r="CV279" s="260"/>
      <c r="CY279" s="260"/>
      <c r="DB279" s="260"/>
    </row>
    <row r="280" spans="1:106" s="144" customFormat="1" x14ac:dyDescent="0.25">
      <c r="A280" s="181"/>
      <c r="C280" s="133"/>
      <c r="L280" s="260"/>
      <c r="X280" s="260"/>
      <c r="Y280" s="170"/>
      <c r="AJ280" s="260"/>
      <c r="BD280" s="260"/>
      <c r="BY280" s="260"/>
      <c r="CJ280" s="260"/>
      <c r="CN280" s="170"/>
      <c r="CP280" s="260"/>
      <c r="CS280" s="260"/>
      <c r="CV280" s="260"/>
      <c r="CY280" s="260"/>
      <c r="DB280" s="260"/>
    </row>
    <row r="281" spans="1:106" s="144" customFormat="1" x14ac:dyDescent="0.25">
      <c r="A281" s="181"/>
      <c r="C281" s="133"/>
      <c r="L281" s="260"/>
      <c r="X281" s="260"/>
      <c r="Y281" s="170"/>
      <c r="AJ281" s="260"/>
      <c r="BD281" s="260"/>
      <c r="BY281" s="260"/>
      <c r="CJ281" s="260"/>
      <c r="CN281" s="170"/>
      <c r="CP281" s="260"/>
      <c r="CS281" s="260"/>
      <c r="CV281" s="260"/>
      <c r="CY281" s="260"/>
      <c r="DB281" s="260"/>
    </row>
    <row r="282" spans="1:106" s="144" customFormat="1" x14ac:dyDescent="0.25">
      <c r="A282" s="181"/>
      <c r="C282" s="133"/>
      <c r="L282" s="260"/>
      <c r="X282" s="260"/>
      <c r="Y282" s="170"/>
      <c r="AJ282" s="260"/>
      <c r="BD282" s="260"/>
      <c r="BY282" s="260"/>
      <c r="CJ282" s="260"/>
      <c r="CN282" s="170"/>
      <c r="CP282" s="260"/>
      <c r="CS282" s="260"/>
      <c r="CV282" s="260"/>
      <c r="CY282" s="260"/>
      <c r="DB282" s="260"/>
    </row>
    <row r="283" spans="1:106" s="144" customFormat="1" x14ac:dyDescent="0.25">
      <c r="A283" s="181"/>
      <c r="C283" s="133"/>
      <c r="L283" s="260"/>
      <c r="X283" s="260"/>
      <c r="Y283" s="170"/>
      <c r="AJ283" s="260"/>
      <c r="BD283" s="260"/>
      <c r="BY283" s="260"/>
      <c r="CJ283" s="260"/>
      <c r="CN283" s="170"/>
      <c r="CP283" s="260"/>
      <c r="CS283" s="260"/>
      <c r="CV283" s="260"/>
      <c r="CY283" s="260"/>
      <c r="DB283" s="260"/>
    </row>
    <row r="284" spans="1:106" s="144" customFormat="1" x14ac:dyDescent="0.25">
      <c r="A284" s="181"/>
      <c r="C284" s="133"/>
      <c r="L284" s="260"/>
      <c r="X284" s="260"/>
      <c r="Y284" s="170"/>
      <c r="AJ284" s="260"/>
      <c r="BD284" s="260"/>
      <c r="BY284" s="260"/>
      <c r="CJ284" s="260"/>
      <c r="CN284" s="170"/>
      <c r="CP284" s="260"/>
      <c r="CS284" s="260"/>
      <c r="CV284" s="260"/>
      <c r="CY284" s="260"/>
      <c r="DB284" s="260"/>
    </row>
    <row r="285" spans="1:106" s="144" customFormat="1" x14ac:dyDescent="0.25">
      <c r="A285" s="181"/>
      <c r="C285" s="133"/>
      <c r="L285" s="260"/>
      <c r="X285" s="260"/>
      <c r="Y285" s="170"/>
      <c r="AJ285" s="260"/>
      <c r="BD285" s="260"/>
      <c r="BY285" s="260"/>
      <c r="CJ285" s="260"/>
      <c r="CN285" s="170"/>
      <c r="CP285" s="260"/>
      <c r="CS285" s="260"/>
      <c r="CV285" s="260"/>
      <c r="CY285" s="260"/>
      <c r="DB285" s="260"/>
    </row>
    <row r="286" spans="1:106" s="144" customFormat="1" x14ac:dyDescent="0.25">
      <c r="A286" s="181"/>
      <c r="C286" s="133"/>
      <c r="L286" s="260"/>
      <c r="X286" s="260"/>
      <c r="Y286" s="170"/>
      <c r="AJ286" s="260"/>
      <c r="BD286" s="260"/>
      <c r="BY286" s="260"/>
      <c r="CJ286" s="260"/>
      <c r="CN286" s="170"/>
      <c r="CP286" s="260"/>
      <c r="CS286" s="260"/>
      <c r="CV286" s="260"/>
      <c r="CY286" s="260"/>
      <c r="DB286" s="260"/>
    </row>
    <row r="287" spans="1:106" s="144" customFormat="1" x14ac:dyDescent="0.25">
      <c r="A287" s="181"/>
      <c r="C287" s="133"/>
      <c r="L287" s="260"/>
      <c r="X287" s="260"/>
      <c r="Y287" s="170"/>
      <c r="AJ287" s="260"/>
      <c r="BD287" s="260"/>
      <c r="BY287" s="260"/>
      <c r="CJ287" s="260"/>
      <c r="CN287" s="170"/>
      <c r="CP287" s="260"/>
      <c r="CS287" s="260"/>
      <c r="CV287" s="260"/>
      <c r="CY287" s="260"/>
      <c r="DB287" s="260"/>
    </row>
    <row r="288" spans="1:106" s="144" customFormat="1" x14ac:dyDescent="0.25">
      <c r="A288" s="181"/>
      <c r="C288" s="133"/>
      <c r="L288" s="260"/>
      <c r="X288" s="260"/>
      <c r="Y288" s="170"/>
      <c r="AJ288" s="260"/>
      <c r="BD288" s="260"/>
      <c r="BY288" s="260"/>
      <c r="CJ288" s="260"/>
      <c r="CN288" s="170"/>
      <c r="CP288" s="260"/>
      <c r="CS288" s="260"/>
      <c r="CV288" s="260"/>
      <c r="CY288" s="260"/>
      <c r="DB288" s="260"/>
    </row>
    <row r="289" spans="1:106" s="144" customFormat="1" x14ac:dyDescent="0.25">
      <c r="A289" s="181"/>
      <c r="C289" s="133"/>
      <c r="L289" s="260"/>
      <c r="X289" s="260"/>
      <c r="Y289" s="170"/>
      <c r="AJ289" s="260"/>
      <c r="BD289" s="260"/>
      <c r="BY289" s="260"/>
      <c r="CJ289" s="260"/>
      <c r="CN289" s="170"/>
      <c r="CP289" s="260"/>
      <c r="CS289" s="260"/>
      <c r="CV289" s="260"/>
      <c r="CY289" s="260"/>
      <c r="DB289" s="260"/>
    </row>
    <row r="290" spans="1:106" s="144" customFormat="1" x14ac:dyDescent="0.25">
      <c r="A290" s="181"/>
      <c r="C290" s="133"/>
      <c r="L290" s="260"/>
      <c r="X290" s="260"/>
      <c r="Y290" s="170"/>
      <c r="AJ290" s="260"/>
      <c r="BD290" s="260"/>
      <c r="BY290" s="260"/>
      <c r="CJ290" s="260"/>
      <c r="CN290" s="170"/>
      <c r="CP290" s="260"/>
      <c r="CS290" s="260"/>
      <c r="CV290" s="260"/>
      <c r="CY290" s="260"/>
      <c r="DB290" s="260"/>
    </row>
    <row r="291" spans="1:106" s="144" customFormat="1" x14ac:dyDescent="0.25">
      <c r="A291" s="181"/>
      <c r="C291" s="133"/>
      <c r="L291" s="260"/>
      <c r="X291" s="260"/>
      <c r="Y291" s="170"/>
      <c r="AJ291" s="260"/>
      <c r="BD291" s="260"/>
      <c r="BY291" s="260"/>
      <c r="CJ291" s="260"/>
      <c r="CN291" s="170"/>
      <c r="CP291" s="260"/>
      <c r="CS291" s="260"/>
      <c r="CV291" s="260"/>
      <c r="CY291" s="260"/>
      <c r="DB291" s="260"/>
    </row>
    <row r="292" spans="1:106" s="144" customFormat="1" x14ac:dyDescent="0.25">
      <c r="A292" s="181"/>
      <c r="C292" s="133"/>
      <c r="L292" s="260"/>
      <c r="X292" s="260"/>
      <c r="Y292" s="170"/>
      <c r="AJ292" s="260"/>
      <c r="BD292" s="260"/>
      <c r="BY292" s="260"/>
      <c r="CJ292" s="260"/>
      <c r="CN292" s="170"/>
      <c r="CP292" s="260"/>
      <c r="CS292" s="260"/>
      <c r="CV292" s="260"/>
      <c r="CY292" s="260"/>
      <c r="DB292" s="260"/>
    </row>
    <row r="293" spans="1:106" s="144" customFormat="1" x14ac:dyDescent="0.25">
      <c r="A293" s="181"/>
      <c r="C293" s="133"/>
      <c r="L293" s="260"/>
      <c r="X293" s="260"/>
      <c r="Y293" s="170"/>
      <c r="AJ293" s="260"/>
      <c r="BD293" s="260"/>
      <c r="BY293" s="260"/>
      <c r="CJ293" s="260"/>
      <c r="CN293" s="170"/>
      <c r="CP293" s="260"/>
      <c r="CS293" s="260"/>
      <c r="CV293" s="260"/>
      <c r="CY293" s="260"/>
      <c r="DB293" s="260"/>
    </row>
    <row r="294" spans="1:106" s="144" customFormat="1" x14ac:dyDescent="0.25">
      <c r="A294" s="181"/>
      <c r="C294" s="133"/>
      <c r="L294" s="260"/>
      <c r="X294" s="260"/>
      <c r="Y294" s="170"/>
      <c r="AJ294" s="260"/>
      <c r="BD294" s="260"/>
      <c r="BY294" s="260"/>
      <c r="CJ294" s="260"/>
      <c r="CN294" s="170"/>
      <c r="CP294" s="260"/>
      <c r="CS294" s="260"/>
      <c r="CV294" s="260"/>
      <c r="CY294" s="260"/>
      <c r="DB294" s="260"/>
    </row>
    <row r="295" spans="1:106" s="144" customFormat="1" x14ac:dyDescent="0.25">
      <c r="A295" s="181"/>
      <c r="C295" s="133"/>
      <c r="L295" s="260"/>
      <c r="X295" s="260"/>
      <c r="Y295" s="170"/>
      <c r="AJ295" s="260"/>
      <c r="BD295" s="260"/>
      <c r="BY295" s="260"/>
      <c r="CJ295" s="260"/>
      <c r="CN295" s="170"/>
      <c r="CP295" s="260"/>
      <c r="CS295" s="260"/>
      <c r="CV295" s="260"/>
      <c r="CY295" s="260"/>
      <c r="DB295" s="260"/>
    </row>
    <row r="296" spans="1:106" s="144" customFormat="1" x14ac:dyDescent="0.25">
      <c r="A296" s="181"/>
      <c r="C296" s="133"/>
      <c r="L296" s="260"/>
      <c r="X296" s="260"/>
      <c r="Y296" s="170"/>
      <c r="AJ296" s="260"/>
      <c r="BD296" s="260"/>
      <c r="BY296" s="260"/>
      <c r="CJ296" s="260"/>
      <c r="CN296" s="170"/>
      <c r="CP296" s="260"/>
      <c r="CS296" s="260"/>
      <c r="CV296" s="260"/>
      <c r="CY296" s="260"/>
      <c r="DB296" s="260"/>
    </row>
    <row r="297" spans="1:106" s="144" customFormat="1" x14ac:dyDescent="0.25">
      <c r="A297" s="181"/>
      <c r="C297" s="133"/>
      <c r="L297" s="260"/>
      <c r="X297" s="260"/>
      <c r="Y297" s="170"/>
      <c r="AJ297" s="260"/>
      <c r="BD297" s="260"/>
      <c r="BY297" s="260"/>
      <c r="CJ297" s="260"/>
      <c r="CN297" s="170"/>
      <c r="CP297" s="260"/>
      <c r="CS297" s="260"/>
      <c r="CV297" s="260"/>
      <c r="CY297" s="260"/>
      <c r="DB297" s="260"/>
    </row>
    <row r="298" spans="1:106" s="144" customFormat="1" x14ac:dyDescent="0.25">
      <c r="A298" s="181"/>
      <c r="C298" s="133"/>
      <c r="L298" s="260"/>
      <c r="X298" s="260"/>
      <c r="Y298" s="170"/>
      <c r="AJ298" s="260"/>
      <c r="BD298" s="260"/>
      <c r="BY298" s="260"/>
      <c r="CJ298" s="260"/>
      <c r="CN298" s="170"/>
      <c r="CP298" s="260"/>
      <c r="CS298" s="260"/>
      <c r="CV298" s="260"/>
      <c r="CY298" s="260"/>
      <c r="DB298" s="260"/>
    </row>
    <row r="299" spans="1:106" s="144" customFormat="1" x14ac:dyDescent="0.25">
      <c r="A299" s="181"/>
      <c r="C299" s="133"/>
      <c r="L299" s="260"/>
      <c r="X299" s="260"/>
      <c r="Y299" s="170"/>
      <c r="AJ299" s="260"/>
      <c r="BD299" s="260"/>
      <c r="BY299" s="260"/>
      <c r="CJ299" s="260"/>
      <c r="CN299" s="170"/>
      <c r="CP299" s="260"/>
      <c r="CS299" s="260"/>
      <c r="CV299" s="260"/>
      <c r="CY299" s="260"/>
      <c r="DB299" s="260"/>
    </row>
    <row r="300" spans="1:106" s="144" customFormat="1" x14ac:dyDescent="0.25">
      <c r="A300" s="181"/>
      <c r="C300" s="133"/>
      <c r="L300" s="260"/>
      <c r="X300" s="260"/>
      <c r="Y300" s="170"/>
      <c r="AJ300" s="260"/>
      <c r="BD300" s="260"/>
      <c r="BY300" s="260"/>
      <c r="CJ300" s="260"/>
      <c r="CN300" s="170"/>
      <c r="CP300" s="260"/>
      <c r="CS300" s="260"/>
      <c r="CV300" s="260"/>
      <c r="CY300" s="260"/>
      <c r="DB300" s="260"/>
    </row>
    <row r="301" spans="1:106" s="144" customFormat="1" x14ac:dyDescent="0.25">
      <c r="A301" s="181"/>
      <c r="C301" s="133"/>
      <c r="L301" s="260"/>
      <c r="X301" s="260"/>
      <c r="Y301" s="170"/>
      <c r="AJ301" s="260"/>
      <c r="BD301" s="260"/>
      <c r="BY301" s="260"/>
      <c r="CJ301" s="260"/>
      <c r="CN301" s="170"/>
      <c r="CP301" s="260"/>
      <c r="CS301" s="260"/>
      <c r="CV301" s="260"/>
      <c r="CY301" s="260"/>
      <c r="DB301" s="260"/>
    </row>
    <row r="302" spans="1:106" s="144" customFormat="1" x14ac:dyDescent="0.25">
      <c r="A302" s="181"/>
      <c r="C302" s="133"/>
      <c r="L302" s="260"/>
      <c r="X302" s="260"/>
      <c r="Y302" s="170"/>
      <c r="AJ302" s="260"/>
      <c r="BD302" s="260"/>
      <c r="BY302" s="260"/>
      <c r="CJ302" s="260"/>
      <c r="CN302" s="170"/>
      <c r="CP302" s="260"/>
      <c r="CS302" s="260"/>
      <c r="CV302" s="260"/>
      <c r="CY302" s="260"/>
      <c r="DB302" s="260"/>
    </row>
    <row r="303" spans="1:106" s="144" customFormat="1" x14ac:dyDescent="0.25">
      <c r="A303" s="181"/>
      <c r="C303" s="133"/>
      <c r="L303" s="260"/>
      <c r="X303" s="260"/>
      <c r="Y303" s="170"/>
      <c r="AJ303" s="260"/>
      <c r="BD303" s="260"/>
      <c r="BY303" s="260"/>
      <c r="CJ303" s="260"/>
      <c r="CN303" s="170"/>
      <c r="CP303" s="260"/>
      <c r="CS303" s="260"/>
      <c r="CV303" s="260"/>
      <c r="CY303" s="260"/>
      <c r="DB303" s="260"/>
    </row>
    <row r="304" spans="1:106" s="144" customFormat="1" x14ac:dyDescent="0.25">
      <c r="A304" s="181"/>
      <c r="C304" s="133"/>
      <c r="L304" s="260"/>
      <c r="X304" s="260"/>
      <c r="Y304" s="170"/>
      <c r="AJ304" s="260"/>
      <c r="BD304" s="260"/>
      <c r="BY304" s="260"/>
      <c r="CJ304" s="260"/>
      <c r="CN304" s="170"/>
      <c r="CP304" s="260"/>
      <c r="CS304" s="260"/>
      <c r="CV304" s="260"/>
      <c r="CY304" s="260"/>
      <c r="DB304" s="260"/>
    </row>
    <row r="305" spans="1:106" s="144" customFormat="1" x14ac:dyDescent="0.25">
      <c r="A305" s="181"/>
      <c r="C305" s="133"/>
      <c r="L305" s="260"/>
      <c r="X305" s="260"/>
      <c r="Y305" s="170"/>
      <c r="AJ305" s="260"/>
      <c r="BD305" s="260"/>
      <c r="BY305" s="260"/>
      <c r="CJ305" s="260"/>
      <c r="CN305" s="170"/>
      <c r="CP305" s="260"/>
      <c r="CS305" s="260"/>
      <c r="CV305" s="260"/>
      <c r="CY305" s="260"/>
      <c r="DB305" s="260"/>
    </row>
    <row r="306" spans="1:106" s="144" customFormat="1" x14ac:dyDescent="0.25">
      <c r="A306" s="181"/>
      <c r="C306" s="133"/>
      <c r="L306" s="260"/>
      <c r="X306" s="260"/>
      <c r="Y306" s="170"/>
      <c r="AJ306" s="260"/>
      <c r="BD306" s="260"/>
      <c r="BY306" s="260"/>
      <c r="CJ306" s="260"/>
      <c r="CN306" s="170"/>
      <c r="CP306" s="260"/>
      <c r="CS306" s="260"/>
      <c r="CV306" s="260"/>
      <c r="CY306" s="260"/>
      <c r="DB306" s="260"/>
    </row>
    <row r="307" spans="1:106" s="144" customFormat="1" x14ac:dyDescent="0.25">
      <c r="A307" s="181"/>
      <c r="C307" s="133"/>
      <c r="L307" s="260"/>
      <c r="X307" s="260"/>
      <c r="Y307" s="170"/>
      <c r="AJ307" s="260"/>
      <c r="BD307" s="260"/>
      <c r="BY307" s="260"/>
      <c r="CJ307" s="260"/>
      <c r="CN307" s="170"/>
      <c r="CP307" s="260"/>
      <c r="CS307" s="260"/>
      <c r="CV307" s="260"/>
      <c r="CY307" s="260"/>
      <c r="DB307" s="260"/>
    </row>
    <row r="308" spans="1:106" s="144" customFormat="1" x14ac:dyDescent="0.25">
      <c r="A308" s="181"/>
      <c r="C308" s="133"/>
      <c r="L308" s="260"/>
      <c r="X308" s="260"/>
      <c r="Y308" s="170"/>
      <c r="AJ308" s="260"/>
      <c r="BD308" s="260"/>
      <c r="BY308" s="260"/>
      <c r="CJ308" s="260"/>
      <c r="CN308" s="170"/>
      <c r="CP308" s="260"/>
      <c r="CS308" s="260"/>
      <c r="CV308" s="260"/>
      <c r="CY308" s="260"/>
      <c r="DB308" s="260"/>
    </row>
    <row r="309" spans="1:106" s="144" customFormat="1" x14ac:dyDescent="0.25">
      <c r="A309" s="181"/>
      <c r="C309" s="133"/>
      <c r="L309" s="260"/>
      <c r="X309" s="260"/>
      <c r="Y309" s="170"/>
      <c r="AJ309" s="260"/>
      <c r="BD309" s="260"/>
      <c r="BY309" s="260"/>
      <c r="CJ309" s="260"/>
      <c r="CN309" s="170"/>
      <c r="CP309" s="260"/>
      <c r="CS309" s="260"/>
      <c r="CV309" s="260"/>
      <c r="CY309" s="260"/>
      <c r="DB309" s="260"/>
    </row>
    <row r="310" spans="1:106" s="144" customFormat="1" x14ac:dyDescent="0.25">
      <c r="A310" s="181"/>
      <c r="C310" s="133"/>
      <c r="L310" s="260"/>
      <c r="X310" s="260"/>
      <c r="Y310" s="170"/>
      <c r="AJ310" s="260"/>
      <c r="BD310" s="260"/>
      <c r="BY310" s="260"/>
      <c r="CJ310" s="260"/>
      <c r="CN310" s="170"/>
      <c r="CP310" s="260"/>
      <c r="CS310" s="260"/>
      <c r="CV310" s="260"/>
      <c r="CY310" s="260"/>
      <c r="DB310" s="260"/>
    </row>
    <row r="311" spans="1:106" s="144" customFormat="1" x14ac:dyDescent="0.25">
      <c r="A311" s="181"/>
      <c r="C311" s="133"/>
      <c r="L311" s="260"/>
      <c r="X311" s="260"/>
      <c r="Y311" s="170"/>
      <c r="AJ311" s="260"/>
      <c r="BD311" s="260"/>
      <c r="BY311" s="260"/>
      <c r="CJ311" s="260"/>
      <c r="CN311" s="170"/>
      <c r="CP311" s="260"/>
      <c r="CS311" s="260"/>
      <c r="CV311" s="260"/>
      <c r="CY311" s="260"/>
      <c r="DB311" s="260"/>
    </row>
    <row r="312" spans="1:106" s="144" customFormat="1" x14ac:dyDescent="0.25">
      <c r="A312" s="181"/>
      <c r="C312" s="133"/>
      <c r="L312" s="260"/>
      <c r="X312" s="260"/>
      <c r="Y312" s="170"/>
      <c r="AJ312" s="260"/>
      <c r="BD312" s="260"/>
      <c r="BY312" s="260"/>
      <c r="CJ312" s="260"/>
      <c r="CN312" s="170"/>
      <c r="CP312" s="260"/>
      <c r="CS312" s="260"/>
      <c r="CV312" s="260"/>
      <c r="CY312" s="260"/>
      <c r="DB312" s="260"/>
    </row>
    <row r="313" spans="1:106" s="144" customFormat="1" x14ac:dyDescent="0.25">
      <c r="A313" s="181"/>
      <c r="C313" s="133"/>
      <c r="L313" s="260"/>
      <c r="X313" s="260"/>
      <c r="Y313" s="170"/>
      <c r="AJ313" s="260"/>
      <c r="BD313" s="260"/>
      <c r="BY313" s="260"/>
      <c r="CJ313" s="260"/>
      <c r="CN313" s="170"/>
      <c r="CP313" s="260"/>
      <c r="CS313" s="260"/>
      <c r="CV313" s="260"/>
      <c r="CY313" s="260"/>
      <c r="DB313" s="260"/>
    </row>
    <row r="314" spans="1:106" s="144" customFormat="1" x14ac:dyDescent="0.25">
      <c r="A314" s="181"/>
      <c r="C314" s="133"/>
      <c r="L314" s="260"/>
      <c r="X314" s="260"/>
      <c r="Y314" s="170"/>
      <c r="AJ314" s="260"/>
      <c r="BD314" s="260"/>
      <c r="BY314" s="260"/>
      <c r="CJ314" s="260"/>
      <c r="CN314" s="170"/>
      <c r="CP314" s="260"/>
      <c r="CS314" s="260"/>
      <c r="CV314" s="260"/>
      <c r="CY314" s="260"/>
      <c r="DB314" s="260"/>
    </row>
    <row r="315" spans="1:106" s="144" customFormat="1" x14ac:dyDescent="0.25">
      <c r="A315" s="181"/>
      <c r="C315" s="133"/>
      <c r="L315" s="260"/>
      <c r="X315" s="260"/>
      <c r="Y315" s="170"/>
      <c r="AJ315" s="260"/>
      <c r="BD315" s="260"/>
      <c r="BY315" s="260"/>
      <c r="CJ315" s="260"/>
      <c r="CN315" s="170"/>
      <c r="CP315" s="260"/>
      <c r="CS315" s="260"/>
      <c r="CV315" s="260"/>
      <c r="CY315" s="260"/>
      <c r="DB315" s="260"/>
    </row>
    <row r="316" spans="1:106" s="144" customFormat="1" x14ac:dyDescent="0.25">
      <c r="A316" s="181"/>
      <c r="C316" s="133"/>
      <c r="L316" s="260"/>
      <c r="X316" s="260"/>
      <c r="Y316" s="170"/>
      <c r="AJ316" s="260"/>
      <c r="BD316" s="260"/>
      <c r="BY316" s="260"/>
      <c r="CJ316" s="260"/>
      <c r="CN316" s="170"/>
      <c r="CP316" s="260"/>
      <c r="CS316" s="260"/>
      <c r="CV316" s="260"/>
      <c r="CY316" s="260"/>
      <c r="DB316" s="260"/>
    </row>
    <row r="317" spans="1:106" s="144" customFormat="1" x14ac:dyDescent="0.25">
      <c r="A317" s="181"/>
      <c r="C317" s="133"/>
      <c r="L317" s="260"/>
      <c r="X317" s="260"/>
      <c r="Y317" s="170"/>
      <c r="AJ317" s="260"/>
      <c r="BD317" s="260"/>
      <c r="BY317" s="260"/>
      <c r="CJ317" s="260"/>
      <c r="CN317" s="170"/>
      <c r="CP317" s="260"/>
      <c r="CS317" s="260"/>
      <c r="CV317" s="260"/>
      <c r="CY317" s="260"/>
      <c r="DB317" s="260"/>
    </row>
    <row r="318" spans="1:106" s="144" customFormat="1" x14ac:dyDescent="0.25">
      <c r="A318" s="181"/>
      <c r="C318" s="133"/>
      <c r="L318" s="260"/>
      <c r="X318" s="260"/>
      <c r="Y318" s="170"/>
      <c r="AJ318" s="260"/>
      <c r="BD318" s="260"/>
      <c r="BY318" s="260"/>
      <c r="CJ318" s="260"/>
      <c r="CN318" s="170"/>
      <c r="CP318" s="260"/>
      <c r="CS318" s="260"/>
      <c r="CV318" s="260"/>
      <c r="CY318" s="260"/>
      <c r="DB318" s="260"/>
    </row>
    <row r="319" spans="1:106" s="144" customFormat="1" x14ac:dyDescent="0.25">
      <c r="A319" s="181"/>
      <c r="C319" s="133"/>
      <c r="L319" s="260"/>
      <c r="X319" s="260"/>
      <c r="Y319" s="170"/>
      <c r="AJ319" s="260"/>
      <c r="BD319" s="260"/>
      <c r="BY319" s="260"/>
      <c r="CJ319" s="260"/>
      <c r="CN319" s="170"/>
      <c r="CP319" s="260"/>
      <c r="CS319" s="260"/>
      <c r="CV319" s="260"/>
      <c r="CY319" s="260"/>
      <c r="DB319" s="260"/>
    </row>
    <row r="320" spans="1:106" s="144" customFormat="1" x14ac:dyDescent="0.25">
      <c r="A320" s="181"/>
      <c r="C320" s="133"/>
      <c r="L320" s="260"/>
      <c r="X320" s="260"/>
      <c r="Y320" s="170"/>
      <c r="AJ320" s="260"/>
      <c r="BD320" s="260"/>
      <c r="BY320" s="260"/>
      <c r="CJ320" s="260"/>
      <c r="CN320" s="170"/>
      <c r="CP320" s="260"/>
      <c r="CS320" s="260"/>
      <c r="CV320" s="260"/>
      <c r="CY320" s="260"/>
      <c r="DB320" s="260"/>
    </row>
    <row r="321" spans="1:106" s="144" customFormat="1" x14ac:dyDescent="0.25">
      <c r="A321" s="181"/>
      <c r="C321" s="133"/>
      <c r="L321" s="260"/>
      <c r="X321" s="260"/>
      <c r="Y321" s="170"/>
      <c r="AJ321" s="260"/>
      <c r="BD321" s="260"/>
      <c r="BY321" s="260"/>
      <c r="CJ321" s="260"/>
      <c r="CN321" s="170"/>
      <c r="CP321" s="260"/>
      <c r="CS321" s="260"/>
      <c r="CV321" s="260"/>
      <c r="CY321" s="260"/>
      <c r="DB321" s="260"/>
    </row>
    <row r="322" spans="1:106" s="144" customFormat="1" x14ac:dyDescent="0.25">
      <c r="A322" s="181"/>
      <c r="C322" s="133"/>
      <c r="L322" s="260"/>
      <c r="X322" s="260"/>
      <c r="Y322" s="170"/>
      <c r="AJ322" s="260"/>
      <c r="BD322" s="260"/>
      <c r="BY322" s="260"/>
      <c r="CJ322" s="260"/>
      <c r="CN322" s="170"/>
      <c r="CP322" s="260"/>
      <c r="CS322" s="260"/>
      <c r="CV322" s="260"/>
      <c r="CY322" s="260"/>
      <c r="DB322" s="260"/>
    </row>
    <row r="323" spans="1:106" s="144" customFormat="1" x14ac:dyDescent="0.25">
      <c r="A323" s="181"/>
      <c r="C323" s="133"/>
      <c r="L323" s="260"/>
      <c r="X323" s="260"/>
      <c r="Y323" s="170"/>
      <c r="AJ323" s="260"/>
      <c r="BD323" s="260"/>
      <c r="BY323" s="260"/>
      <c r="CJ323" s="260"/>
      <c r="CN323" s="170"/>
      <c r="CP323" s="260"/>
      <c r="CS323" s="260"/>
      <c r="CV323" s="260"/>
      <c r="CY323" s="260"/>
      <c r="DB323" s="260"/>
    </row>
    <row r="324" spans="1:106" s="144" customFormat="1" x14ac:dyDescent="0.25">
      <c r="A324" s="181"/>
      <c r="C324" s="133"/>
      <c r="L324" s="260"/>
      <c r="X324" s="260"/>
      <c r="Y324" s="170"/>
      <c r="AJ324" s="260"/>
      <c r="BD324" s="260"/>
      <c r="BY324" s="260"/>
      <c r="CJ324" s="260"/>
      <c r="CN324" s="170"/>
      <c r="CP324" s="260"/>
      <c r="CS324" s="260"/>
      <c r="CV324" s="260"/>
      <c r="CY324" s="260"/>
      <c r="DB324" s="260"/>
    </row>
    <row r="325" spans="1:106" s="144" customFormat="1" x14ac:dyDescent="0.25">
      <c r="A325" s="181"/>
      <c r="C325" s="133"/>
      <c r="L325" s="260"/>
      <c r="X325" s="260"/>
      <c r="Y325" s="170"/>
      <c r="AJ325" s="260"/>
      <c r="BD325" s="260"/>
      <c r="BY325" s="260"/>
      <c r="CJ325" s="260"/>
      <c r="CN325" s="170"/>
      <c r="CP325" s="260"/>
      <c r="CS325" s="260"/>
      <c r="CV325" s="260"/>
      <c r="CY325" s="260"/>
      <c r="DB325" s="260"/>
    </row>
    <row r="326" spans="1:106" s="144" customFormat="1" x14ac:dyDescent="0.25">
      <c r="A326" s="181"/>
      <c r="C326" s="133"/>
      <c r="L326" s="260"/>
      <c r="X326" s="260"/>
      <c r="Y326" s="170"/>
      <c r="AJ326" s="260"/>
      <c r="BD326" s="260"/>
      <c r="BY326" s="260"/>
      <c r="CJ326" s="260"/>
      <c r="CN326" s="170"/>
      <c r="CP326" s="260"/>
      <c r="CS326" s="260"/>
      <c r="CV326" s="260"/>
      <c r="CY326" s="260"/>
      <c r="DB326" s="260"/>
    </row>
    <row r="327" spans="1:106" s="144" customFormat="1" x14ac:dyDescent="0.25">
      <c r="A327" s="181"/>
      <c r="C327" s="133"/>
      <c r="L327" s="260"/>
      <c r="X327" s="260"/>
      <c r="Y327" s="170"/>
      <c r="AJ327" s="260"/>
      <c r="BD327" s="260"/>
      <c r="BY327" s="260"/>
      <c r="CJ327" s="260"/>
      <c r="CN327" s="170"/>
      <c r="CP327" s="260"/>
      <c r="CS327" s="260"/>
      <c r="CV327" s="260"/>
      <c r="CY327" s="260"/>
      <c r="DB327" s="260"/>
    </row>
    <row r="328" spans="1:106" s="144" customFormat="1" x14ac:dyDescent="0.25">
      <c r="A328" s="181"/>
      <c r="C328" s="133"/>
      <c r="L328" s="260"/>
      <c r="X328" s="260"/>
      <c r="Y328" s="170"/>
      <c r="AJ328" s="260"/>
      <c r="BD328" s="260"/>
      <c r="BY328" s="260"/>
      <c r="CJ328" s="260"/>
      <c r="CN328" s="170"/>
      <c r="CP328" s="260"/>
      <c r="CS328" s="260"/>
      <c r="CV328" s="260"/>
      <c r="CY328" s="260"/>
      <c r="DB328" s="260"/>
    </row>
    <row r="329" spans="1:106" s="144" customFormat="1" x14ac:dyDescent="0.25">
      <c r="A329" s="181"/>
      <c r="C329" s="133"/>
      <c r="L329" s="260"/>
      <c r="X329" s="260"/>
      <c r="Y329" s="170"/>
      <c r="AJ329" s="260"/>
      <c r="BD329" s="260"/>
      <c r="BY329" s="260"/>
      <c r="CJ329" s="260"/>
      <c r="CN329" s="170"/>
      <c r="CP329" s="260"/>
      <c r="CS329" s="260"/>
      <c r="CV329" s="260"/>
      <c r="CY329" s="260"/>
      <c r="DB329" s="260"/>
    </row>
    <row r="330" spans="1:106" s="144" customFormat="1" x14ac:dyDescent="0.25">
      <c r="A330" s="181"/>
      <c r="C330" s="133"/>
      <c r="L330" s="260"/>
      <c r="X330" s="260"/>
      <c r="Y330" s="170"/>
      <c r="AJ330" s="260"/>
      <c r="BD330" s="260"/>
      <c r="BY330" s="260"/>
      <c r="CJ330" s="260"/>
      <c r="CN330" s="170"/>
      <c r="CP330" s="260"/>
      <c r="CS330" s="260"/>
      <c r="CV330" s="260"/>
      <c r="CY330" s="260"/>
      <c r="DB330" s="260"/>
    </row>
    <row r="331" spans="1:106" s="144" customFormat="1" x14ac:dyDescent="0.25">
      <c r="A331" s="181"/>
      <c r="C331" s="133"/>
      <c r="L331" s="260"/>
      <c r="X331" s="260"/>
      <c r="Y331" s="170"/>
      <c r="AJ331" s="260"/>
      <c r="BD331" s="260"/>
      <c r="BY331" s="260"/>
      <c r="CJ331" s="260"/>
      <c r="CN331" s="170"/>
      <c r="CP331" s="260"/>
      <c r="CS331" s="260"/>
      <c r="CV331" s="260"/>
      <c r="CY331" s="260"/>
      <c r="DB331" s="260"/>
    </row>
    <row r="332" spans="1:106" s="144" customFormat="1" x14ac:dyDescent="0.25">
      <c r="A332" s="181"/>
      <c r="C332" s="133"/>
      <c r="L332" s="260"/>
      <c r="X332" s="260"/>
      <c r="Y332" s="170"/>
      <c r="AJ332" s="260"/>
      <c r="BD332" s="260"/>
      <c r="BY332" s="260"/>
      <c r="CJ332" s="260"/>
      <c r="CN332" s="170"/>
      <c r="CP332" s="260"/>
      <c r="CS332" s="260"/>
      <c r="CV332" s="260"/>
      <c r="CY332" s="260"/>
      <c r="DB332" s="260"/>
    </row>
    <row r="333" spans="1:106" s="144" customFormat="1" x14ac:dyDescent="0.25">
      <c r="A333" s="181"/>
      <c r="C333" s="133"/>
      <c r="L333" s="260"/>
      <c r="X333" s="260"/>
      <c r="Y333" s="170"/>
      <c r="AJ333" s="260"/>
      <c r="BD333" s="260"/>
      <c r="BY333" s="260"/>
      <c r="CJ333" s="260"/>
      <c r="CN333" s="170"/>
      <c r="CP333" s="260"/>
      <c r="CS333" s="260"/>
      <c r="CV333" s="260"/>
      <c r="CY333" s="260"/>
      <c r="DB333" s="260"/>
    </row>
    <row r="334" spans="1:106" s="144" customFormat="1" x14ac:dyDescent="0.25">
      <c r="A334" s="181"/>
      <c r="C334" s="133"/>
      <c r="L334" s="260"/>
      <c r="X334" s="260"/>
      <c r="Y334" s="170"/>
      <c r="AJ334" s="260"/>
      <c r="BD334" s="260"/>
      <c r="BY334" s="260"/>
      <c r="CJ334" s="260"/>
      <c r="CN334" s="170"/>
      <c r="CP334" s="260"/>
      <c r="CS334" s="260"/>
      <c r="CV334" s="260"/>
      <c r="CY334" s="260"/>
      <c r="DB334" s="260"/>
    </row>
    <row r="335" spans="1:106" s="144" customFormat="1" x14ac:dyDescent="0.25">
      <c r="A335" s="181"/>
      <c r="C335" s="133"/>
      <c r="L335" s="260"/>
      <c r="X335" s="260"/>
      <c r="Y335" s="170"/>
      <c r="AJ335" s="260"/>
      <c r="BD335" s="260"/>
      <c r="BY335" s="260"/>
      <c r="CJ335" s="260"/>
      <c r="CN335" s="170"/>
      <c r="CP335" s="260"/>
      <c r="CS335" s="260"/>
      <c r="CV335" s="260"/>
      <c r="CY335" s="260"/>
      <c r="DB335" s="260"/>
    </row>
    <row r="336" spans="1:106" s="144" customFormat="1" x14ac:dyDescent="0.25">
      <c r="A336" s="181"/>
      <c r="C336" s="133"/>
      <c r="L336" s="260"/>
      <c r="X336" s="260"/>
      <c r="Y336" s="170"/>
      <c r="AJ336" s="260"/>
      <c r="BD336" s="260"/>
      <c r="BY336" s="260"/>
      <c r="CJ336" s="260"/>
      <c r="CN336" s="170"/>
      <c r="CP336" s="260"/>
      <c r="CS336" s="260"/>
      <c r="CV336" s="260"/>
      <c r="CY336" s="260"/>
      <c r="DB336" s="260"/>
    </row>
    <row r="337" spans="1:106" s="144" customFormat="1" x14ac:dyDescent="0.25">
      <c r="A337" s="181"/>
      <c r="C337" s="133"/>
      <c r="L337" s="260"/>
      <c r="X337" s="260"/>
      <c r="Y337" s="170"/>
      <c r="AJ337" s="260"/>
      <c r="BD337" s="260"/>
      <c r="BY337" s="260"/>
      <c r="CJ337" s="260"/>
      <c r="CN337" s="170"/>
      <c r="CP337" s="260"/>
      <c r="CS337" s="260"/>
      <c r="CV337" s="260"/>
      <c r="CY337" s="260"/>
      <c r="DB337" s="260"/>
    </row>
    <row r="338" spans="1:106" s="144" customFormat="1" x14ac:dyDescent="0.25">
      <c r="A338" s="181"/>
      <c r="C338" s="133"/>
      <c r="L338" s="260"/>
      <c r="X338" s="260"/>
      <c r="Y338" s="170"/>
      <c r="AJ338" s="260"/>
      <c r="BD338" s="260"/>
      <c r="BY338" s="260"/>
      <c r="CJ338" s="260"/>
      <c r="CN338" s="170"/>
      <c r="CP338" s="260"/>
      <c r="CS338" s="260"/>
      <c r="CV338" s="260"/>
      <c r="CY338" s="260"/>
      <c r="DB338" s="260"/>
    </row>
    <row r="339" spans="1:106" s="144" customFormat="1" x14ac:dyDescent="0.25">
      <c r="A339" s="181"/>
      <c r="C339" s="133"/>
      <c r="L339" s="260"/>
      <c r="X339" s="260"/>
      <c r="Y339" s="170"/>
      <c r="AJ339" s="260"/>
      <c r="BD339" s="260"/>
      <c r="BY339" s="260"/>
      <c r="CJ339" s="260"/>
      <c r="CN339" s="170"/>
      <c r="CP339" s="260"/>
      <c r="CS339" s="260"/>
      <c r="CV339" s="260"/>
      <c r="CY339" s="260"/>
      <c r="DB339" s="260"/>
    </row>
    <row r="340" spans="1:106" s="144" customFormat="1" x14ac:dyDescent="0.25">
      <c r="A340" s="181"/>
      <c r="C340" s="133"/>
      <c r="L340" s="260"/>
      <c r="X340" s="260"/>
      <c r="Y340" s="170"/>
      <c r="AJ340" s="260"/>
      <c r="BD340" s="260"/>
      <c r="BY340" s="260"/>
      <c r="CJ340" s="260"/>
      <c r="CN340" s="170"/>
      <c r="CP340" s="260"/>
      <c r="CS340" s="260"/>
      <c r="CV340" s="260"/>
      <c r="CY340" s="260"/>
      <c r="DB340" s="260"/>
    </row>
    <row r="341" spans="1:106" s="144" customFormat="1" x14ac:dyDescent="0.25">
      <c r="A341" s="181"/>
      <c r="C341" s="133"/>
      <c r="L341" s="260"/>
      <c r="X341" s="260"/>
      <c r="Y341" s="170"/>
      <c r="AJ341" s="260"/>
      <c r="BD341" s="260"/>
      <c r="BY341" s="260"/>
      <c r="CJ341" s="260"/>
      <c r="CN341" s="170"/>
      <c r="CP341" s="260"/>
      <c r="CS341" s="260"/>
      <c r="CV341" s="260"/>
      <c r="CY341" s="260"/>
      <c r="DB341" s="260"/>
    </row>
    <row r="342" spans="1:106" s="144" customFormat="1" x14ac:dyDescent="0.25">
      <c r="A342" s="181"/>
      <c r="C342" s="133"/>
      <c r="L342" s="260"/>
      <c r="X342" s="260"/>
      <c r="Y342" s="170"/>
      <c r="AJ342" s="260"/>
      <c r="BD342" s="260"/>
      <c r="BY342" s="260"/>
      <c r="CJ342" s="260"/>
      <c r="CN342" s="170"/>
      <c r="CP342" s="260"/>
      <c r="CS342" s="260"/>
      <c r="CV342" s="260"/>
      <c r="CY342" s="260"/>
      <c r="DB342" s="260"/>
    </row>
    <row r="343" spans="1:106" s="144" customFormat="1" x14ac:dyDescent="0.25">
      <c r="A343" s="181"/>
      <c r="C343" s="133"/>
      <c r="L343" s="260"/>
      <c r="X343" s="260"/>
      <c r="Y343" s="170"/>
      <c r="AJ343" s="260"/>
      <c r="BD343" s="260"/>
      <c r="BY343" s="260"/>
      <c r="CJ343" s="260"/>
      <c r="CN343" s="170"/>
      <c r="CP343" s="260"/>
      <c r="CS343" s="260"/>
      <c r="CV343" s="260"/>
      <c r="CY343" s="260"/>
      <c r="DB343" s="260"/>
    </row>
    <row r="344" spans="1:106" s="144" customFormat="1" x14ac:dyDescent="0.25">
      <c r="A344" s="181"/>
      <c r="C344" s="133"/>
      <c r="L344" s="260"/>
      <c r="X344" s="260"/>
      <c r="Y344" s="170"/>
      <c r="AJ344" s="260"/>
      <c r="BD344" s="260"/>
      <c r="BY344" s="260"/>
      <c r="CJ344" s="260"/>
      <c r="CN344" s="170"/>
      <c r="CP344" s="260"/>
      <c r="CS344" s="260"/>
      <c r="CV344" s="260"/>
      <c r="CY344" s="260"/>
      <c r="DB344" s="260"/>
    </row>
    <row r="345" spans="1:106" s="144" customFormat="1" x14ac:dyDescent="0.25">
      <c r="A345" s="181"/>
      <c r="C345" s="133"/>
      <c r="L345" s="260"/>
      <c r="X345" s="260"/>
      <c r="Y345" s="170"/>
      <c r="AJ345" s="260"/>
      <c r="BD345" s="260"/>
      <c r="BY345" s="260"/>
      <c r="CJ345" s="260"/>
      <c r="CN345" s="170"/>
      <c r="CP345" s="260"/>
      <c r="CS345" s="260"/>
      <c r="CV345" s="260"/>
      <c r="CY345" s="260"/>
      <c r="DB345" s="260"/>
    </row>
    <row r="346" spans="1:106" s="144" customFormat="1" x14ac:dyDescent="0.25">
      <c r="A346" s="181"/>
      <c r="C346" s="133"/>
      <c r="L346" s="260"/>
      <c r="X346" s="260"/>
      <c r="Y346" s="170"/>
      <c r="AJ346" s="260"/>
      <c r="BD346" s="260"/>
      <c r="BY346" s="260"/>
      <c r="CJ346" s="260"/>
      <c r="CN346" s="170"/>
      <c r="CP346" s="260"/>
      <c r="CS346" s="260"/>
      <c r="CV346" s="260"/>
      <c r="CY346" s="260"/>
      <c r="DB346" s="260"/>
    </row>
    <row r="347" spans="1:106" s="144" customFormat="1" x14ac:dyDescent="0.25">
      <c r="A347" s="181"/>
      <c r="C347" s="133"/>
      <c r="L347" s="260"/>
      <c r="X347" s="260"/>
      <c r="Y347" s="170"/>
      <c r="AJ347" s="260"/>
      <c r="BD347" s="260"/>
      <c r="BY347" s="260"/>
      <c r="CJ347" s="260"/>
      <c r="CN347" s="170"/>
      <c r="CP347" s="260"/>
      <c r="CS347" s="260"/>
      <c r="CV347" s="260"/>
      <c r="CY347" s="260"/>
      <c r="DB347" s="260"/>
    </row>
    <row r="348" spans="1:106" s="144" customFormat="1" x14ac:dyDescent="0.25">
      <c r="A348" s="181"/>
      <c r="C348" s="133"/>
      <c r="L348" s="260"/>
      <c r="X348" s="260"/>
      <c r="Y348" s="170"/>
      <c r="AJ348" s="260"/>
      <c r="BD348" s="260"/>
      <c r="BY348" s="260"/>
      <c r="CJ348" s="260"/>
      <c r="CN348" s="170"/>
      <c r="CP348" s="260"/>
      <c r="CS348" s="260"/>
      <c r="CV348" s="260"/>
      <c r="CY348" s="260"/>
      <c r="DB348" s="260"/>
    </row>
    <row r="349" spans="1:106" s="144" customFormat="1" x14ac:dyDescent="0.25">
      <c r="A349" s="181"/>
      <c r="C349" s="133"/>
      <c r="L349" s="260"/>
      <c r="X349" s="260"/>
      <c r="Y349" s="170"/>
      <c r="AJ349" s="260"/>
      <c r="BD349" s="260"/>
      <c r="BY349" s="260"/>
      <c r="CJ349" s="260"/>
      <c r="CN349" s="170"/>
      <c r="CP349" s="260"/>
      <c r="CS349" s="260"/>
      <c r="CV349" s="260"/>
      <c r="CY349" s="260"/>
      <c r="DB349" s="260"/>
    </row>
    <row r="350" spans="1:106" s="144" customFormat="1" x14ac:dyDescent="0.25">
      <c r="A350" s="181"/>
      <c r="C350" s="133"/>
      <c r="L350" s="260"/>
      <c r="X350" s="260"/>
      <c r="Y350" s="170"/>
      <c r="AJ350" s="260"/>
      <c r="BD350" s="260"/>
      <c r="BY350" s="260"/>
      <c r="CJ350" s="260"/>
      <c r="CN350" s="170"/>
      <c r="CP350" s="260"/>
      <c r="CS350" s="260"/>
      <c r="CV350" s="260"/>
      <c r="CY350" s="260"/>
      <c r="DB350" s="260"/>
    </row>
    <row r="351" spans="1:106" s="144" customFormat="1" x14ac:dyDescent="0.25">
      <c r="A351" s="181"/>
      <c r="C351" s="133"/>
      <c r="L351" s="260"/>
      <c r="X351" s="260"/>
      <c r="Y351" s="170"/>
      <c r="AJ351" s="260"/>
      <c r="BD351" s="260"/>
      <c r="BY351" s="260"/>
      <c r="CJ351" s="260"/>
      <c r="CN351" s="170"/>
      <c r="CP351" s="260"/>
      <c r="CS351" s="260"/>
      <c r="CV351" s="260"/>
      <c r="CY351" s="260"/>
      <c r="DB351" s="260"/>
    </row>
    <row r="352" spans="1:106" s="144" customFormat="1" x14ac:dyDescent="0.25">
      <c r="A352" s="181"/>
      <c r="C352" s="133"/>
      <c r="L352" s="260"/>
      <c r="X352" s="260"/>
      <c r="Y352" s="170"/>
      <c r="AJ352" s="260"/>
      <c r="BD352" s="260"/>
      <c r="BY352" s="260"/>
      <c r="CJ352" s="260"/>
      <c r="CN352" s="170"/>
      <c r="CP352" s="260"/>
      <c r="CS352" s="260"/>
      <c r="CV352" s="260"/>
      <c r="CY352" s="260"/>
      <c r="DB352" s="260"/>
    </row>
    <row r="353" spans="1:106" s="144" customFormat="1" x14ac:dyDescent="0.25">
      <c r="A353" s="181"/>
      <c r="C353" s="133"/>
      <c r="L353" s="260"/>
      <c r="X353" s="260"/>
      <c r="Y353" s="170"/>
      <c r="AJ353" s="260"/>
      <c r="BD353" s="260"/>
      <c r="BY353" s="260"/>
      <c r="CJ353" s="260"/>
      <c r="CN353" s="170"/>
      <c r="CP353" s="260"/>
      <c r="CS353" s="260"/>
      <c r="CV353" s="260"/>
      <c r="CY353" s="260"/>
      <c r="DB353" s="260"/>
    </row>
    <row r="354" spans="1:106" s="144" customFormat="1" x14ac:dyDescent="0.25">
      <c r="A354" s="181"/>
      <c r="C354" s="133"/>
      <c r="L354" s="260"/>
      <c r="X354" s="260"/>
      <c r="Y354" s="170"/>
      <c r="AJ354" s="260"/>
      <c r="BD354" s="260"/>
      <c r="BY354" s="260"/>
      <c r="CJ354" s="260"/>
      <c r="CN354" s="170"/>
      <c r="CP354" s="260"/>
      <c r="CS354" s="260"/>
      <c r="CV354" s="260"/>
      <c r="CY354" s="260"/>
      <c r="DB354" s="260"/>
    </row>
    <row r="355" spans="1:106" s="144" customFormat="1" x14ac:dyDescent="0.25">
      <c r="A355" s="181"/>
      <c r="C355" s="133"/>
      <c r="L355" s="260"/>
      <c r="X355" s="260"/>
      <c r="Y355" s="170"/>
      <c r="AJ355" s="260"/>
      <c r="BD355" s="260"/>
      <c r="BY355" s="260"/>
      <c r="CJ355" s="260"/>
      <c r="CN355" s="170"/>
      <c r="CP355" s="260"/>
      <c r="CS355" s="260"/>
      <c r="CV355" s="260"/>
      <c r="CY355" s="260"/>
      <c r="DB355" s="260"/>
    </row>
    <row r="356" spans="1:106" s="144" customFormat="1" x14ac:dyDescent="0.25">
      <c r="A356" s="181"/>
      <c r="C356" s="133"/>
      <c r="L356" s="260"/>
      <c r="X356" s="260"/>
      <c r="Y356" s="170"/>
      <c r="AJ356" s="260"/>
      <c r="BD356" s="260"/>
      <c r="BY356" s="260"/>
      <c r="CJ356" s="260"/>
      <c r="CN356" s="170"/>
      <c r="CP356" s="260"/>
      <c r="CS356" s="260"/>
      <c r="CV356" s="260"/>
      <c r="CY356" s="260"/>
      <c r="DB356" s="260"/>
    </row>
    <row r="357" spans="1:106" s="144" customFormat="1" x14ac:dyDescent="0.25">
      <c r="A357" s="181"/>
      <c r="C357" s="133"/>
      <c r="L357" s="260"/>
      <c r="X357" s="260"/>
      <c r="Y357" s="170"/>
      <c r="AJ357" s="260"/>
      <c r="BD357" s="260"/>
      <c r="BY357" s="260"/>
      <c r="CJ357" s="260"/>
      <c r="CN357" s="170"/>
      <c r="CP357" s="260"/>
      <c r="CS357" s="260"/>
      <c r="CV357" s="260"/>
      <c r="CY357" s="260"/>
      <c r="DB357" s="260"/>
    </row>
    <row r="358" spans="1:106" s="144" customFormat="1" x14ac:dyDescent="0.25">
      <c r="A358" s="181"/>
      <c r="C358" s="133"/>
      <c r="L358" s="260"/>
      <c r="X358" s="260"/>
      <c r="Y358" s="170"/>
      <c r="AJ358" s="260"/>
      <c r="BD358" s="260"/>
      <c r="BY358" s="260"/>
      <c r="CJ358" s="260"/>
      <c r="CN358" s="170"/>
      <c r="CP358" s="260"/>
      <c r="CS358" s="260"/>
      <c r="CV358" s="260"/>
      <c r="CY358" s="260"/>
      <c r="DB358" s="260"/>
    </row>
    <row r="359" spans="1:106" s="144" customFormat="1" x14ac:dyDescent="0.25">
      <c r="A359" s="181"/>
      <c r="C359" s="133"/>
      <c r="L359" s="260"/>
      <c r="X359" s="260"/>
      <c r="Y359" s="170"/>
      <c r="AJ359" s="260"/>
      <c r="BD359" s="260"/>
      <c r="BY359" s="260"/>
      <c r="CJ359" s="260"/>
      <c r="CN359" s="170"/>
      <c r="CP359" s="260"/>
      <c r="CS359" s="260"/>
      <c r="CV359" s="260"/>
      <c r="CY359" s="260"/>
      <c r="DB359" s="260"/>
    </row>
    <row r="360" spans="1:106" s="144" customFormat="1" x14ac:dyDescent="0.25">
      <c r="A360" s="181"/>
      <c r="C360" s="133"/>
      <c r="L360" s="260"/>
      <c r="X360" s="260"/>
      <c r="Y360" s="170"/>
      <c r="AJ360" s="260"/>
      <c r="BD360" s="260"/>
      <c r="BY360" s="260"/>
      <c r="CJ360" s="260"/>
      <c r="CN360" s="170"/>
      <c r="CP360" s="260"/>
      <c r="CS360" s="260"/>
      <c r="CV360" s="260"/>
      <c r="CY360" s="260"/>
      <c r="DB360" s="260"/>
    </row>
    <row r="361" spans="1:106" s="144" customFormat="1" x14ac:dyDescent="0.25">
      <c r="A361" s="181"/>
      <c r="C361" s="133"/>
      <c r="L361" s="260"/>
      <c r="X361" s="260"/>
      <c r="Y361" s="170"/>
      <c r="AJ361" s="260"/>
      <c r="BD361" s="260"/>
      <c r="BY361" s="260"/>
      <c r="CJ361" s="260"/>
      <c r="CN361" s="170"/>
      <c r="CP361" s="260"/>
      <c r="CS361" s="260"/>
      <c r="CV361" s="260"/>
      <c r="CY361" s="260"/>
      <c r="DB361" s="260"/>
    </row>
    <row r="362" spans="1:106" s="144" customFormat="1" x14ac:dyDescent="0.25">
      <c r="A362" s="181"/>
      <c r="C362" s="133"/>
      <c r="L362" s="260"/>
      <c r="X362" s="260"/>
      <c r="Y362" s="170"/>
      <c r="AJ362" s="260"/>
      <c r="BD362" s="260"/>
      <c r="BY362" s="260"/>
      <c r="CJ362" s="260"/>
      <c r="CN362" s="170"/>
      <c r="CP362" s="260"/>
      <c r="CS362" s="260"/>
      <c r="CV362" s="260"/>
      <c r="CY362" s="260"/>
      <c r="DB362" s="260"/>
    </row>
    <row r="363" spans="1:106" s="144" customFormat="1" x14ac:dyDescent="0.25">
      <c r="A363" s="181"/>
      <c r="C363" s="133"/>
      <c r="L363" s="260"/>
      <c r="X363" s="260"/>
      <c r="Y363" s="170"/>
      <c r="AJ363" s="260"/>
      <c r="BD363" s="260"/>
      <c r="BY363" s="260"/>
      <c r="CJ363" s="260"/>
      <c r="CN363" s="170"/>
      <c r="CP363" s="260"/>
      <c r="CS363" s="260"/>
      <c r="CV363" s="260"/>
      <c r="CY363" s="260"/>
      <c r="DB363" s="260"/>
    </row>
    <row r="364" spans="1:106" s="144" customFormat="1" x14ac:dyDescent="0.25">
      <c r="A364" s="181"/>
      <c r="C364" s="133"/>
      <c r="L364" s="260"/>
      <c r="X364" s="260"/>
      <c r="Y364" s="170"/>
      <c r="AJ364" s="260"/>
      <c r="BD364" s="260"/>
      <c r="BY364" s="260"/>
      <c r="CJ364" s="260"/>
      <c r="CN364" s="170"/>
      <c r="CP364" s="260"/>
      <c r="CS364" s="260"/>
      <c r="CV364" s="260"/>
      <c r="CY364" s="260"/>
      <c r="DB364" s="260"/>
    </row>
    <row r="365" spans="1:106" s="144" customFormat="1" x14ac:dyDescent="0.25">
      <c r="A365" s="181"/>
      <c r="C365" s="133"/>
      <c r="L365" s="260"/>
      <c r="X365" s="260"/>
      <c r="Y365" s="170"/>
      <c r="AJ365" s="260"/>
      <c r="BD365" s="260"/>
      <c r="BY365" s="260"/>
      <c r="CJ365" s="260"/>
      <c r="CN365" s="170"/>
      <c r="CP365" s="260"/>
      <c r="CS365" s="260"/>
      <c r="CV365" s="260"/>
      <c r="CY365" s="260"/>
      <c r="DB365" s="260"/>
    </row>
    <row r="366" spans="1:106" s="144" customFormat="1" x14ac:dyDescent="0.25">
      <c r="A366" s="181"/>
      <c r="C366" s="133"/>
      <c r="L366" s="260"/>
      <c r="X366" s="260"/>
      <c r="Y366" s="170"/>
      <c r="AJ366" s="260"/>
      <c r="BD366" s="260"/>
      <c r="BY366" s="260"/>
      <c r="CJ366" s="260"/>
      <c r="CN366" s="170"/>
      <c r="CP366" s="260"/>
      <c r="CS366" s="260"/>
      <c r="CV366" s="260"/>
      <c r="CY366" s="260"/>
      <c r="DB366" s="260"/>
    </row>
    <row r="367" spans="1:106" s="144" customFormat="1" x14ac:dyDescent="0.25">
      <c r="A367" s="181"/>
      <c r="C367" s="133"/>
      <c r="L367" s="260"/>
      <c r="X367" s="260"/>
      <c r="Y367" s="170"/>
      <c r="AJ367" s="260"/>
      <c r="BD367" s="260"/>
      <c r="BY367" s="260"/>
      <c r="CJ367" s="260"/>
      <c r="CN367" s="170"/>
      <c r="CP367" s="260"/>
      <c r="CS367" s="260"/>
      <c r="CV367" s="260"/>
      <c r="CY367" s="260"/>
      <c r="DB367" s="260"/>
    </row>
    <row r="368" spans="1:106" s="144" customFormat="1" x14ac:dyDescent="0.25">
      <c r="A368" s="181"/>
      <c r="C368" s="133"/>
      <c r="L368" s="260"/>
      <c r="X368" s="260"/>
      <c r="Y368" s="170"/>
      <c r="AJ368" s="260"/>
      <c r="BD368" s="260"/>
      <c r="BY368" s="260"/>
      <c r="CJ368" s="260"/>
      <c r="CN368" s="170"/>
      <c r="CP368" s="260"/>
      <c r="CS368" s="260"/>
      <c r="CV368" s="260"/>
      <c r="CY368" s="260"/>
      <c r="DB368" s="260"/>
    </row>
    <row r="369" spans="1:106" s="144" customFormat="1" x14ac:dyDescent="0.25">
      <c r="A369" s="181"/>
      <c r="C369" s="133"/>
      <c r="L369" s="260"/>
      <c r="X369" s="260"/>
      <c r="Y369" s="170"/>
      <c r="AJ369" s="260"/>
      <c r="BD369" s="260"/>
      <c r="BY369" s="260"/>
      <c r="CJ369" s="260"/>
      <c r="CN369" s="170"/>
      <c r="CP369" s="260"/>
      <c r="CS369" s="260"/>
      <c r="CV369" s="260"/>
      <c r="CY369" s="260"/>
      <c r="DB369" s="260"/>
    </row>
    <row r="370" spans="1:106" s="144" customFormat="1" x14ac:dyDescent="0.25">
      <c r="A370" s="181"/>
      <c r="C370" s="133"/>
      <c r="L370" s="260"/>
      <c r="X370" s="260"/>
      <c r="Y370" s="170"/>
      <c r="AJ370" s="260"/>
      <c r="BD370" s="260"/>
      <c r="BY370" s="260"/>
      <c r="CJ370" s="260"/>
      <c r="CN370" s="170"/>
      <c r="CP370" s="260"/>
      <c r="CS370" s="260"/>
      <c r="CV370" s="260"/>
      <c r="CY370" s="260"/>
      <c r="DB370" s="260"/>
    </row>
    <row r="371" spans="1:106" s="144" customFormat="1" x14ac:dyDescent="0.25">
      <c r="A371" s="181"/>
      <c r="C371" s="133"/>
      <c r="L371" s="260"/>
      <c r="X371" s="260"/>
      <c r="Y371" s="170"/>
      <c r="AJ371" s="260"/>
      <c r="BD371" s="260"/>
      <c r="BY371" s="260"/>
      <c r="CJ371" s="260"/>
      <c r="CN371" s="170"/>
      <c r="CP371" s="260"/>
      <c r="CS371" s="260"/>
      <c r="CV371" s="260"/>
      <c r="CY371" s="260"/>
      <c r="DB371" s="260"/>
    </row>
    <row r="372" spans="1:106" s="144" customFormat="1" x14ac:dyDescent="0.25">
      <c r="A372" s="181"/>
      <c r="C372" s="133"/>
      <c r="L372" s="260"/>
      <c r="X372" s="260"/>
      <c r="Y372" s="170"/>
      <c r="AJ372" s="260"/>
      <c r="BD372" s="260"/>
      <c r="BY372" s="260"/>
      <c r="CJ372" s="260"/>
      <c r="CN372" s="170"/>
      <c r="CP372" s="260"/>
      <c r="CS372" s="260"/>
      <c r="CV372" s="260"/>
      <c r="CY372" s="260"/>
      <c r="DB372" s="260"/>
    </row>
    <row r="373" spans="1:106" s="144" customFormat="1" x14ac:dyDescent="0.25">
      <c r="A373" s="181"/>
      <c r="C373" s="133"/>
      <c r="L373" s="260"/>
      <c r="X373" s="260"/>
      <c r="Y373" s="170"/>
      <c r="AJ373" s="260"/>
      <c r="BD373" s="260"/>
      <c r="BY373" s="260"/>
      <c r="CJ373" s="260"/>
      <c r="CN373" s="170"/>
      <c r="CP373" s="260"/>
      <c r="CS373" s="260"/>
      <c r="CV373" s="260"/>
      <c r="CY373" s="260"/>
      <c r="DB373" s="260"/>
    </row>
    <row r="374" spans="1:106" s="144" customFormat="1" x14ac:dyDescent="0.25">
      <c r="A374" s="181"/>
      <c r="C374" s="133"/>
      <c r="L374" s="260"/>
      <c r="X374" s="260"/>
      <c r="Y374" s="170"/>
      <c r="AJ374" s="260"/>
      <c r="BD374" s="260"/>
      <c r="BY374" s="260"/>
      <c r="CJ374" s="260"/>
      <c r="CN374" s="170"/>
      <c r="CP374" s="260"/>
      <c r="CS374" s="260"/>
      <c r="CV374" s="260"/>
      <c r="CY374" s="260"/>
      <c r="DB374" s="260"/>
    </row>
    <row r="375" spans="1:106" s="144" customFormat="1" x14ac:dyDescent="0.25">
      <c r="A375" s="181"/>
      <c r="C375" s="133"/>
      <c r="L375" s="260"/>
      <c r="X375" s="260"/>
      <c r="Y375" s="170"/>
      <c r="AJ375" s="260"/>
      <c r="BD375" s="260"/>
      <c r="BY375" s="260"/>
      <c r="CJ375" s="260"/>
      <c r="CN375" s="170"/>
      <c r="CP375" s="260"/>
      <c r="CS375" s="260"/>
      <c r="CV375" s="260"/>
      <c r="CY375" s="260"/>
      <c r="DB375" s="260"/>
    </row>
    <row r="376" spans="1:106" s="144" customFormat="1" x14ac:dyDescent="0.25">
      <c r="A376" s="181"/>
      <c r="C376" s="133"/>
      <c r="L376" s="260"/>
      <c r="X376" s="260"/>
      <c r="Y376" s="170"/>
      <c r="AJ376" s="260"/>
      <c r="BD376" s="260"/>
      <c r="BY376" s="260"/>
      <c r="CJ376" s="260"/>
      <c r="CN376" s="170"/>
      <c r="CP376" s="260"/>
      <c r="CS376" s="260"/>
      <c r="CV376" s="260"/>
      <c r="CY376" s="260"/>
      <c r="DB376" s="260"/>
    </row>
    <row r="377" spans="1:106" s="144" customFormat="1" x14ac:dyDescent="0.25">
      <c r="A377" s="181"/>
      <c r="C377" s="133"/>
      <c r="L377" s="260"/>
      <c r="X377" s="260"/>
      <c r="Y377" s="170"/>
      <c r="AJ377" s="260"/>
      <c r="BD377" s="260"/>
      <c r="BY377" s="260"/>
      <c r="CJ377" s="260"/>
      <c r="CN377" s="170"/>
      <c r="CP377" s="260"/>
      <c r="CS377" s="260"/>
      <c r="CV377" s="260"/>
      <c r="CY377" s="260"/>
      <c r="DB377" s="260"/>
    </row>
    <row r="378" spans="1:106" s="144" customFormat="1" x14ac:dyDescent="0.25">
      <c r="A378" s="181"/>
      <c r="C378" s="133"/>
      <c r="L378" s="260"/>
      <c r="X378" s="260"/>
      <c r="Y378" s="170"/>
      <c r="AJ378" s="260"/>
      <c r="BD378" s="260"/>
      <c r="BY378" s="260"/>
      <c r="CJ378" s="260"/>
      <c r="CN378" s="170"/>
      <c r="CP378" s="260"/>
      <c r="CS378" s="260"/>
      <c r="CV378" s="260"/>
      <c r="CY378" s="260"/>
      <c r="DB378" s="260"/>
    </row>
    <row r="379" spans="1:106" s="144" customFormat="1" x14ac:dyDescent="0.25">
      <c r="A379" s="181"/>
      <c r="C379" s="133"/>
      <c r="L379" s="260"/>
      <c r="X379" s="260"/>
      <c r="Y379" s="170"/>
      <c r="AJ379" s="260"/>
      <c r="BD379" s="260"/>
      <c r="BY379" s="260"/>
      <c r="CJ379" s="260"/>
      <c r="CN379" s="170"/>
      <c r="CP379" s="260"/>
      <c r="CS379" s="260"/>
      <c r="CV379" s="260"/>
      <c r="CY379" s="260"/>
      <c r="DB379" s="260"/>
    </row>
    <row r="380" spans="1:106" s="144" customFormat="1" x14ac:dyDescent="0.25">
      <c r="A380" s="181"/>
      <c r="C380" s="133"/>
      <c r="L380" s="260"/>
      <c r="X380" s="260"/>
      <c r="Y380" s="170"/>
      <c r="AJ380" s="260"/>
      <c r="BD380" s="260"/>
      <c r="BY380" s="260"/>
      <c r="CJ380" s="260"/>
      <c r="CN380" s="170"/>
      <c r="CP380" s="260"/>
      <c r="CS380" s="260"/>
      <c r="CV380" s="260"/>
      <c r="CY380" s="260"/>
      <c r="DB380" s="260"/>
    </row>
    <row r="381" spans="1:106" s="144" customFormat="1" x14ac:dyDescent="0.25">
      <c r="A381" s="181"/>
      <c r="C381" s="133"/>
      <c r="L381" s="260"/>
      <c r="X381" s="260"/>
      <c r="Y381" s="170"/>
      <c r="AJ381" s="260"/>
      <c r="BD381" s="260"/>
      <c r="BY381" s="260"/>
      <c r="CJ381" s="260"/>
      <c r="CN381" s="170"/>
      <c r="CP381" s="260"/>
      <c r="CS381" s="260"/>
      <c r="CV381" s="260"/>
      <c r="CY381" s="260"/>
      <c r="DB381" s="260"/>
    </row>
    <row r="382" spans="1:106" s="144" customFormat="1" x14ac:dyDescent="0.25">
      <c r="A382" s="181"/>
      <c r="C382" s="133"/>
      <c r="L382" s="260"/>
      <c r="X382" s="260"/>
      <c r="Y382" s="170"/>
      <c r="AJ382" s="260"/>
      <c r="BD382" s="260"/>
      <c r="BY382" s="260"/>
      <c r="CJ382" s="260"/>
      <c r="CN382" s="170"/>
      <c r="CP382" s="260"/>
      <c r="CS382" s="260"/>
      <c r="CV382" s="260"/>
      <c r="CY382" s="260"/>
      <c r="DB382" s="260"/>
    </row>
    <row r="383" spans="1:106" s="144" customFormat="1" x14ac:dyDescent="0.25">
      <c r="A383" s="181"/>
      <c r="C383" s="133"/>
      <c r="L383" s="260"/>
      <c r="X383" s="260"/>
      <c r="Y383" s="170"/>
      <c r="AJ383" s="260"/>
      <c r="BD383" s="260"/>
      <c r="BY383" s="260"/>
      <c r="CJ383" s="260"/>
      <c r="CN383" s="170"/>
      <c r="CP383" s="260"/>
      <c r="CS383" s="260"/>
      <c r="CV383" s="260"/>
      <c r="CY383" s="260"/>
      <c r="DB383" s="260"/>
    </row>
    <row r="384" spans="1:106" s="144" customFormat="1" x14ac:dyDescent="0.25">
      <c r="A384" s="181"/>
      <c r="C384" s="133"/>
      <c r="L384" s="260"/>
      <c r="X384" s="260"/>
      <c r="Y384" s="170"/>
      <c r="AJ384" s="260"/>
      <c r="BD384" s="260"/>
      <c r="BY384" s="260"/>
      <c r="CJ384" s="260"/>
      <c r="CN384" s="170"/>
      <c r="CP384" s="260"/>
      <c r="CS384" s="260"/>
      <c r="CV384" s="260"/>
      <c r="CY384" s="260"/>
      <c r="DB384" s="260"/>
    </row>
    <row r="385" spans="1:106" s="144" customFormat="1" x14ac:dyDescent="0.25">
      <c r="A385" s="181"/>
      <c r="C385" s="133"/>
      <c r="L385" s="260"/>
      <c r="X385" s="260"/>
      <c r="Y385" s="170"/>
      <c r="AJ385" s="260"/>
      <c r="BD385" s="260"/>
      <c r="BY385" s="260"/>
      <c r="CJ385" s="260"/>
      <c r="CN385" s="170"/>
      <c r="CP385" s="260"/>
      <c r="CS385" s="260"/>
      <c r="CV385" s="260"/>
      <c r="CY385" s="260"/>
      <c r="DB385" s="260"/>
    </row>
    <row r="386" spans="1:106" s="144" customFormat="1" x14ac:dyDescent="0.25">
      <c r="A386" s="181"/>
      <c r="C386" s="133"/>
      <c r="L386" s="260"/>
      <c r="X386" s="260"/>
      <c r="Y386" s="170"/>
      <c r="AJ386" s="260"/>
      <c r="BD386" s="260"/>
      <c r="BY386" s="260"/>
      <c r="CJ386" s="260"/>
      <c r="CN386" s="170"/>
      <c r="CP386" s="260"/>
      <c r="CS386" s="260"/>
      <c r="CV386" s="260"/>
      <c r="CY386" s="260"/>
      <c r="DB386" s="260"/>
    </row>
    <row r="387" spans="1:106" s="144" customFormat="1" x14ac:dyDescent="0.25">
      <c r="A387" s="181"/>
      <c r="C387" s="133"/>
      <c r="L387" s="260"/>
      <c r="X387" s="260"/>
      <c r="Y387" s="170"/>
      <c r="AJ387" s="260"/>
      <c r="BD387" s="260"/>
      <c r="BY387" s="260"/>
      <c r="CJ387" s="260"/>
      <c r="CN387" s="170"/>
      <c r="CP387" s="260"/>
      <c r="CS387" s="260"/>
      <c r="CV387" s="260"/>
      <c r="CY387" s="260"/>
      <c r="DB387" s="260"/>
    </row>
    <row r="388" spans="1:106" s="144" customFormat="1" x14ac:dyDescent="0.25">
      <c r="A388" s="181"/>
      <c r="C388" s="133"/>
      <c r="L388" s="260"/>
      <c r="X388" s="260"/>
      <c r="Y388" s="170"/>
      <c r="AJ388" s="260"/>
      <c r="BD388" s="260"/>
      <c r="BY388" s="260"/>
      <c r="CJ388" s="260"/>
      <c r="CN388" s="170"/>
      <c r="CP388" s="260"/>
      <c r="CS388" s="260"/>
      <c r="CV388" s="260"/>
      <c r="CY388" s="260"/>
      <c r="DB388" s="260"/>
    </row>
    <row r="389" spans="1:106" s="144" customFormat="1" x14ac:dyDescent="0.25">
      <c r="A389" s="181"/>
      <c r="C389" s="133"/>
      <c r="L389" s="260"/>
      <c r="X389" s="260"/>
      <c r="Y389" s="170"/>
      <c r="AJ389" s="260"/>
      <c r="BD389" s="260"/>
      <c r="BY389" s="260"/>
      <c r="CJ389" s="260"/>
      <c r="CN389" s="170"/>
      <c r="CP389" s="260"/>
      <c r="CS389" s="260"/>
      <c r="CV389" s="260"/>
      <c r="CY389" s="260"/>
      <c r="DB389" s="260"/>
    </row>
    <row r="390" spans="1:106" s="144" customFormat="1" x14ac:dyDescent="0.25">
      <c r="A390" s="181"/>
      <c r="C390" s="133"/>
      <c r="L390" s="260"/>
      <c r="X390" s="260"/>
      <c r="Y390" s="170"/>
      <c r="AJ390" s="260"/>
      <c r="BD390" s="260"/>
      <c r="BY390" s="260"/>
      <c r="CJ390" s="260"/>
      <c r="CN390" s="170"/>
      <c r="CP390" s="260"/>
      <c r="CS390" s="260"/>
      <c r="CV390" s="260"/>
      <c r="CY390" s="260"/>
      <c r="DB390" s="260"/>
    </row>
    <row r="391" spans="1:106" s="144" customFormat="1" x14ac:dyDescent="0.25">
      <c r="A391" s="181"/>
      <c r="C391" s="133"/>
      <c r="L391" s="260"/>
      <c r="X391" s="260"/>
      <c r="Y391" s="170"/>
      <c r="AJ391" s="260"/>
      <c r="BD391" s="260"/>
      <c r="BY391" s="260"/>
      <c r="CJ391" s="260"/>
      <c r="CN391" s="170"/>
      <c r="CP391" s="260"/>
      <c r="CS391" s="260"/>
      <c r="CV391" s="260"/>
      <c r="CY391" s="260"/>
      <c r="DB391" s="260"/>
    </row>
    <row r="392" spans="1:106" s="144" customFormat="1" x14ac:dyDescent="0.25">
      <c r="A392" s="181"/>
      <c r="C392" s="133"/>
      <c r="L392" s="260"/>
      <c r="X392" s="260"/>
      <c r="Y392" s="170"/>
      <c r="AJ392" s="260"/>
      <c r="BD392" s="260"/>
      <c r="BY392" s="260"/>
      <c r="CJ392" s="260"/>
      <c r="CN392" s="170"/>
      <c r="CP392" s="260"/>
      <c r="CS392" s="260"/>
      <c r="CV392" s="260"/>
      <c r="CY392" s="260"/>
      <c r="DB392" s="260"/>
    </row>
    <row r="393" spans="1:106" s="144" customFormat="1" x14ac:dyDescent="0.25">
      <c r="A393" s="181"/>
      <c r="C393" s="133"/>
      <c r="L393" s="260"/>
      <c r="X393" s="260"/>
      <c r="Y393" s="170"/>
      <c r="AJ393" s="260"/>
      <c r="BD393" s="260"/>
      <c r="BY393" s="260"/>
      <c r="CJ393" s="260"/>
      <c r="CN393" s="170"/>
      <c r="CP393" s="260"/>
      <c r="CS393" s="260"/>
      <c r="CV393" s="260"/>
      <c r="CY393" s="260"/>
      <c r="DB393" s="260"/>
    </row>
    <row r="394" spans="1:106" s="144" customFormat="1" x14ac:dyDescent="0.25">
      <c r="A394" s="181"/>
      <c r="C394" s="133"/>
      <c r="L394" s="260"/>
      <c r="X394" s="260"/>
      <c r="Y394" s="170"/>
      <c r="AJ394" s="260"/>
      <c r="BD394" s="260"/>
      <c r="BY394" s="260"/>
      <c r="CJ394" s="260"/>
      <c r="CN394" s="170"/>
      <c r="CP394" s="260"/>
      <c r="CS394" s="260"/>
      <c r="CV394" s="260"/>
      <c r="CY394" s="260"/>
      <c r="DB394" s="260"/>
    </row>
    <row r="395" spans="1:106" s="144" customFormat="1" x14ac:dyDescent="0.25">
      <c r="A395" s="181"/>
      <c r="C395" s="133"/>
      <c r="L395" s="260"/>
      <c r="X395" s="260"/>
      <c r="Y395" s="170"/>
      <c r="AJ395" s="260"/>
      <c r="BD395" s="260"/>
      <c r="BY395" s="260"/>
      <c r="CJ395" s="260"/>
      <c r="CN395" s="170"/>
      <c r="CP395" s="260"/>
      <c r="CS395" s="260"/>
      <c r="CV395" s="260"/>
      <c r="CY395" s="260"/>
      <c r="DB395" s="260"/>
    </row>
    <row r="396" spans="1:106" s="144" customFormat="1" x14ac:dyDescent="0.25">
      <c r="A396" s="181"/>
      <c r="C396" s="133"/>
      <c r="L396" s="260"/>
      <c r="X396" s="260"/>
      <c r="Y396" s="170"/>
      <c r="AJ396" s="260"/>
      <c r="BD396" s="260"/>
      <c r="BY396" s="260"/>
      <c r="CJ396" s="260"/>
      <c r="CN396" s="170"/>
      <c r="CP396" s="260"/>
      <c r="CS396" s="260"/>
      <c r="CV396" s="260"/>
      <c r="CY396" s="260"/>
      <c r="DB396" s="260"/>
    </row>
    <row r="397" spans="1:106" s="144" customFormat="1" x14ac:dyDescent="0.25">
      <c r="A397" s="181"/>
      <c r="C397" s="133"/>
      <c r="L397" s="260"/>
      <c r="X397" s="260"/>
      <c r="Y397" s="170"/>
      <c r="AJ397" s="260"/>
      <c r="BD397" s="260"/>
      <c r="BY397" s="260"/>
      <c r="CJ397" s="260"/>
      <c r="CN397" s="170"/>
      <c r="CP397" s="260"/>
      <c r="CS397" s="260"/>
      <c r="CV397" s="260"/>
      <c r="CY397" s="260"/>
      <c r="DB397" s="260"/>
    </row>
    <row r="398" spans="1:106" s="144" customFormat="1" x14ac:dyDescent="0.25">
      <c r="A398" s="181"/>
      <c r="C398" s="133"/>
      <c r="L398" s="260"/>
      <c r="X398" s="260"/>
      <c r="Y398" s="170"/>
      <c r="AJ398" s="260"/>
      <c r="BD398" s="260"/>
      <c r="BY398" s="260"/>
      <c r="CJ398" s="260"/>
      <c r="CN398" s="170"/>
      <c r="CP398" s="260"/>
      <c r="CS398" s="260"/>
      <c r="CV398" s="260"/>
      <c r="CY398" s="260"/>
      <c r="DB398" s="260"/>
    </row>
    <row r="399" spans="1:106" s="144" customFormat="1" x14ac:dyDescent="0.25">
      <c r="A399" s="181"/>
      <c r="C399" s="133"/>
      <c r="L399" s="260"/>
      <c r="X399" s="260"/>
      <c r="Y399" s="170"/>
      <c r="AJ399" s="260"/>
      <c r="BD399" s="260"/>
      <c r="BY399" s="260"/>
      <c r="CJ399" s="260"/>
      <c r="CN399" s="170"/>
      <c r="CP399" s="260"/>
      <c r="CS399" s="260"/>
      <c r="CV399" s="260"/>
      <c r="CY399" s="260"/>
      <c r="DB399" s="260"/>
    </row>
    <row r="400" spans="1:106" s="144" customFormat="1" x14ac:dyDescent="0.25">
      <c r="A400" s="181"/>
      <c r="C400" s="133"/>
      <c r="L400" s="260"/>
      <c r="X400" s="260"/>
      <c r="Y400" s="170"/>
      <c r="AJ400" s="260"/>
      <c r="BD400" s="260"/>
      <c r="BY400" s="260"/>
      <c r="CJ400" s="260"/>
      <c r="CN400" s="170"/>
      <c r="CP400" s="260"/>
      <c r="CS400" s="260"/>
      <c r="CV400" s="260"/>
      <c r="CY400" s="260"/>
      <c r="DB400" s="260"/>
    </row>
    <row r="401" spans="1:106" s="144" customFormat="1" x14ac:dyDescent="0.25">
      <c r="A401" s="181"/>
      <c r="C401" s="133"/>
      <c r="L401" s="260"/>
      <c r="X401" s="260"/>
      <c r="Y401" s="170"/>
      <c r="AJ401" s="260"/>
      <c r="BD401" s="260"/>
      <c r="BY401" s="260"/>
      <c r="CJ401" s="260"/>
      <c r="CN401" s="170"/>
      <c r="CP401" s="260"/>
      <c r="CS401" s="260"/>
      <c r="CV401" s="260"/>
      <c r="CY401" s="260"/>
      <c r="DB401" s="260"/>
    </row>
    <row r="402" spans="1:106" s="144" customFormat="1" x14ac:dyDescent="0.25">
      <c r="A402" s="181"/>
      <c r="C402" s="133"/>
      <c r="L402" s="260"/>
      <c r="X402" s="260"/>
      <c r="Y402" s="170"/>
      <c r="AJ402" s="260"/>
      <c r="BD402" s="260"/>
      <c r="BY402" s="260"/>
      <c r="CJ402" s="260"/>
      <c r="CN402" s="170"/>
      <c r="CP402" s="260"/>
      <c r="CS402" s="260"/>
      <c r="CV402" s="260"/>
      <c r="CY402" s="260"/>
      <c r="DB402" s="260"/>
    </row>
    <row r="403" spans="1:106" s="144" customFormat="1" x14ac:dyDescent="0.25">
      <c r="A403" s="181"/>
      <c r="C403" s="133"/>
      <c r="L403" s="260"/>
      <c r="X403" s="260"/>
      <c r="Y403" s="170"/>
      <c r="AJ403" s="260"/>
      <c r="BD403" s="260"/>
      <c r="BY403" s="260"/>
      <c r="CJ403" s="260"/>
      <c r="CN403" s="170"/>
      <c r="CP403" s="260"/>
      <c r="CS403" s="260"/>
      <c r="CV403" s="260"/>
      <c r="CY403" s="260"/>
      <c r="DB403" s="260"/>
    </row>
    <row r="404" spans="1:106" s="144" customFormat="1" x14ac:dyDescent="0.25">
      <c r="A404" s="181"/>
      <c r="C404" s="133"/>
      <c r="L404" s="260"/>
      <c r="X404" s="260"/>
      <c r="Y404" s="170"/>
      <c r="AJ404" s="260"/>
      <c r="BD404" s="260"/>
      <c r="BY404" s="260"/>
      <c r="CJ404" s="260"/>
      <c r="CN404" s="170"/>
      <c r="CP404" s="260"/>
      <c r="CS404" s="260"/>
      <c r="CV404" s="260"/>
      <c r="CY404" s="260"/>
      <c r="DB404" s="260"/>
    </row>
    <row r="405" spans="1:106" s="144" customFormat="1" x14ac:dyDescent="0.25">
      <c r="A405" s="181"/>
      <c r="C405" s="133"/>
      <c r="L405" s="260"/>
      <c r="X405" s="260"/>
      <c r="Y405" s="170"/>
      <c r="AJ405" s="260"/>
      <c r="BD405" s="260"/>
      <c r="BY405" s="260"/>
      <c r="CJ405" s="260"/>
      <c r="CN405" s="170"/>
      <c r="CP405" s="260"/>
      <c r="CS405" s="260"/>
      <c r="CV405" s="260"/>
      <c r="CY405" s="260"/>
      <c r="DB405" s="260"/>
    </row>
    <row r="406" spans="1:106" s="144" customFormat="1" x14ac:dyDescent="0.25">
      <c r="A406" s="181"/>
      <c r="C406" s="133"/>
      <c r="L406" s="260"/>
      <c r="X406" s="260"/>
      <c r="Y406" s="170"/>
      <c r="AJ406" s="260"/>
      <c r="BD406" s="260"/>
      <c r="BY406" s="260"/>
      <c r="CJ406" s="260"/>
      <c r="CN406" s="170"/>
      <c r="CP406" s="260"/>
      <c r="CS406" s="260"/>
      <c r="CV406" s="260"/>
      <c r="CY406" s="260"/>
      <c r="DB406" s="260"/>
    </row>
    <row r="407" spans="1:106" s="144" customFormat="1" x14ac:dyDescent="0.25">
      <c r="A407" s="181"/>
      <c r="C407" s="133"/>
      <c r="L407" s="260"/>
      <c r="X407" s="260"/>
      <c r="Y407" s="170"/>
      <c r="AJ407" s="260"/>
      <c r="BD407" s="260"/>
      <c r="BY407" s="260"/>
      <c r="CJ407" s="260"/>
      <c r="CN407" s="170"/>
      <c r="CP407" s="260"/>
      <c r="CS407" s="260"/>
      <c r="CV407" s="260"/>
      <c r="CY407" s="260"/>
      <c r="DB407" s="260"/>
    </row>
    <row r="408" spans="1:106" s="144" customFormat="1" x14ac:dyDescent="0.25">
      <c r="A408" s="181"/>
      <c r="C408" s="133"/>
      <c r="L408" s="260"/>
      <c r="X408" s="260"/>
      <c r="Y408" s="170"/>
      <c r="AJ408" s="260"/>
      <c r="BD408" s="260"/>
      <c r="BY408" s="260"/>
      <c r="CJ408" s="260"/>
      <c r="CN408" s="170"/>
      <c r="CP408" s="260"/>
      <c r="CS408" s="260"/>
      <c r="CV408" s="260"/>
      <c r="CY408" s="260"/>
      <c r="DB408" s="260"/>
    </row>
    <row r="409" spans="1:106" s="144" customFormat="1" x14ac:dyDescent="0.25">
      <c r="A409" s="181"/>
      <c r="C409" s="133"/>
      <c r="L409" s="260"/>
      <c r="X409" s="260"/>
      <c r="Y409" s="170"/>
      <c r="AJ409" s="260"/>
      <c r="BD409" s="260"/>
      <c r="BY409" s="260"/>
      <c r="CJ409" s="260"/>
      <c r="CN409" s="170"/>
      <c r="CP409" s="260"/>
      <c r="CS409" s="260"/>
      <c r="CV409" s="260"/>
      <c r="CY409" s="260"/>
      <c r="DB409" s="260"/>
    </row>
    <row r="410" spans="1:106" s="144" customFormat="1" x14ac:dyDescent="0.25">
      <c r="A410" s="181"/>
      <c r="C410" s="133"/>
      <c r="L410" s="260"/>
      <c r="X410" s="260"/>
      <c r="Y410" s="170"/>
      <c r="AJ410" s="260"/>
      <c r="BD410" s="260"/>
      <c r="BY410" s="260"/>
      <c r="CJ410" s="260"/>
      <c r="CN410" s="170"/>
      <c r="CP410" s="260"/>
      <c r="CS410" s="260"/>
      <c r="CV410" s="260"/>
      <c r="CY410" s="260"/>
      <c r="DB410" s="260"/>
    </row>
    <row r="411" spans="1:106" s="144" customFormat="1" x14ac:dyDescent="0.25">
      <c r="A411" s="181"/>
      <c r="C411" s="133"/>
      <c r="L411" s="260"/>
      <c r="X411" s="260"/>
      <c r="Y411" s="170"/>
      <c r="AJ411" s="260"/>
      <c r="BD411" s="260"/>
      <c r="BY411" s="260"/>
      <c r="CJ411" s="260"/>
      <c r="CN411" s="170"/>
      <c r="CP411" s="260"/>
      <c r="CS411" s="260"/>
      <c r="CV411" s="260"/>
      <c r="CY411" s="260"/>
      <c r="DB411" s="260"/>
    </row>
    <row r="412" spans="1:106" s="144" customFormat="1" x14ac:dyDescent="0.25">
      <c r="A412" s="181"/>
      <c r="C412" s="133"/>
      <c r="L412" s="260"/>
      <c r="X412" s="260"/>
      <c r="Y412" s="170"/>
      <c r="AJ412" s="260"/>
      <c r="BD412" s="260"/>
      <c r="BY412" s="260"/>
      <c r="CJ412" s="260"/>
      <c r="CN412" s="170"/>
      <c r="CP412" s="260"/>
      <c r="CS412" s="260"/>
      <c r="CV412" s="260"/>
      <c r="CY412" s="260"/>
      <c r="DB412" s="260"/>
    </row>
    <row r="413" spans="1:106" s="144" customFormat="1" x14ac:dyDescent="0.25">
      <c r="A413" s="181"/>
      <c r="C413" s="133"/>
      <c r="L413" s="260"/>
      <c r="X413" s="260"/>
      <c r="Y413" s="170"/>
      <c r="AJ413" s="260"/>
      <c r="BD413" s="260"/>
      <c r="BY413" s="260"/>
      <c r="CJ413" s="260"/>
      <c r="CN413" s="170"/>
      <c r="CP413" s="260"/>
      <c r="CS413" s="260"/>
      <c r="CV413" s="260"/>
      <c r="CY413" s="260"/>
      <c r="DB413" s="260"/>
    </row>
    <row r="414" spans="1:106" s="144" customFormat="1" x14ac:dyDescent="0.25">
      <c r="A414" s="181"/>
      <c r="C414" s="133"/>
      <c r="L414" s="260"/>
      <c r="X414" s="260"/>
      <c r="Y414" s="170"/>
      <c r="AJ414" s="260"/>
      <c r="BD414" s="260"/>
      <c r="BY414" s="260"/>
      <c r="CJ414" s="260"/>
      <c r="CN414" s="170"/>
      <c r="CP414" s="260"/>
      <c r="CS414" s="260"/>
      <c r="CV414" s="260"/>
      <c r="CY414" s="260"/>
      <c r="DB414" s="260"/>
    </row>
    <row r="415" spans="1:106" s="144" customFormat="1" x14ac:dyDescent="0.25">
      <c r="A415" s="181"/>
      <c r="C415" s="133"/>
      <c r="L415" s="260"/>
      <c r="X415" s="260"/>
      <c r="Y415" s="170"/>
      <c r="AJ415" s="260"/>
      <c r="BD415" s="260"/>
      <c r="BY415" s="260"/>
      <c r="CJ415" s="260"/>
      <c r="CN415" s="170"/>
      <c r="CP415" s="260"/>
      <c r="CS415" s="260"/>
      <c r="CV415" s="260"/>
      <c r="CY415" s="260"/>
      <c r="DB415" s="260"/>
    </row>
    <row r="416" spans="1:106" s="144" customFormat="1" x14ac:dyDescent="0.25">
      <c r="A416" s="181"/>
      <c r="C416" s="133"/>
      <c r="L416" s="260"/>
      <c r="X416" s="260"/>
      <c r="Y416" s="170"/>
      <c r="AJ416" s="260"/>
      <c r="BD416" s="260"/>
      <c r="BY416" s="260"/>
      <c r="CJ416" s="260"/>
      <c r="CN416" s="170"/>
      <c r="CP416" s="260"/>
      <c r="CS416" s="260"/>
      <c r="CV416" s="260"/>
      <c r="CY416" s="260"/>
      <c r="DB416" s="260"/>
    </row>
    <row r="417" spans="1:106" s="144" customFormat="1" x14ac:dyDescent="0.25">
      <c r="A417" s="181"/>
      <c r="C417" s="133"/>
      <c r="L417" s="260"/>
      <c r="X417" s="260"/>
      <c r="Y417" s="170"/>
      <c r="AJ417" s="260"/>
      <c r="BD417" s="260"/>
      <c r="BY417" s="260"/>
      <c r="CJ417" s="260"/>
      <c r="CN417" s="170"/>
      <c r="CP417" s="260"/>
      <c r="CS417" s="260"/>
      <c r="CV417" s="260"/>
      <c r="CY417" s="260"/>
      <c r="DB417" s="260"/>
    </row>
    <row r="418" spans="1:106" s="144" customFormat="1" x14ac:dyDescent="0.25">
      <c r="A418" s="181"/>
      <c r="C418" s="133"/>
      <c r="L418" s="260"/>
      <c r="X418" s="260"/>
      <c r="Y418" s="170"/>
      <c r="AJ418" s="260"/>
      <c r="BD418" s="260"/>
      <c r="BY418" s="260"/>
      <c r="CJ418" s="260"/>
      <c r="CN418" s="170"/>
      <c r="CP418" s="260"/>
      <c r="CS418" s="260"/>
      <c r="CV418" s="260"/>
      <c r="CY418" s="260"/>
      <c r="DB418" s="260"/>
    </row>
    <row r="419" spans="1:106" s="144" customFormat="1" x14ac:dyDescent="0.25">
      <c r="A419" s="181"/>
      <c r="C419" s="133"/>
      <c r="L419" s="260"/>
      <c r="X419" s="260"/>
      <c r="Y419" s="170"/>
      <c r="AJ419" s="260"/>
      <c r="BD419" s="260"/>
      <c r="BY419" s="260"/>
      <c r="CJ419" s="260"/>
      <c r="CN419" s="170"/>
      <c r="CP419" s="260"/>
      <c r="CS419" s="260"/>
      <c r="CV419" s="260"/>
      <c r="CY419" s="260"/>
      <c r="DB419" s="260"/>
    </row>
    <row r="420" spans="1:106" s="144" customFormat="1" x14ac:dyDescent="0.25">
      <c r="A420" s="181"/>
      <c r="C420" s="133"/>
      <c r="L420" s="260"/>
      <c r="X420" s="260"/>
      <c r="Y420" s="170"/>
      <c r="AJ420" s="260"/>
      <c r="BD420" s="260"/>
      <c r="BY420" s="260"/>
      <c r="CJ420" s="260"/>
      <c r="CN420" s="170"/>
      <c r="CP420" s="260"/>
      <c r="CS420" s="260"/>
      <c r="CV420" s="260"/>
      <c r="CY420" s="260"/>
      <c r="DB420" s="260"/>
    </row>
    <row r="421" spans="1:106" s="144" customFormat="1" x14ac:dyDescent="0.25">
      <c r="A421" s="181"/>
      <c r="C421" s="133"/>
      <c r="L421" s="260"/>
      <c r="X421" s="260"/>
      <c r="Y421" s="170"/>
      <c r="AJ421" s="260"/>
      <c r="BD421" s="260"/>
      <c r="BY421" s="260"/>
      <c r="CJ421" s="260"/>
      <c r="CN421" s="170"/>
      <c r="CP421" s="260"/>
      <c r="CS421" s="260"/>
      <c r="CV421" s="260"/>
      <c r="CY421" s="260"/>
      <c r="DB421" s="260"/>
    </row>
    <row r="422" spans="1:106" s="144" customFormat="1" x14ac:dyDescent="0.25">
      <c r="A422" s="181"/>
      <c r="C422" s="133"/>
      <c r="L422" s="260"/>
      <c r="X422" s="260"/>
      <c r="Y422" s="170"/>
      <c r="AJ422" s="260"/>
      <c r="BD422" s="260"/>
      <c r="BY422" s="260"/>
      <c r="CJ422" s="260"/>
      <c r="CN422" s="170"/>
      <c r="CP422" s="260"/>
      <c r="CS422" s="260"/>
      <c r="CV422" s="260"/>
      <c r="CY422" s="260"/>
      <c r="DB422" s="260"/>
    </row>
    <row r="423" spans="1:106" s="144" customFormat="1" x14ac:dyDescent="0.25">
      <c r="A423" s="181"/>
      <c r="C423" s="133"/>
      <c r="L423" s="260"/>
      <c r="X423" s="260"/>
      <c r="Y423" s="170"/>
      <c r="AJ423" s="260"/>
      <c r="BD423" s="260"/>
      <c r="BY423" s="260"/>
      <c r="CJ423" s="260"/>
      <c r="CN423" s="170"/>
      <c r="CP423" s="260"/>
      <c r="CS423" s="260"/>
      <c r="CV423" s="260"/>
      <c r="CY423" s="260"/>
      <c r="DB423" s="260"/>
    </row>
    <row r="424" spans="1:106" s="144" customFormat="1" x14ac:dyDescent="0.25">
      <c r="A424" s="181"/>
      <c r="C424" s="133"/>
      <c r="L424" s="260"/>
      <c r="X424" s="260"/>
      <c r="Y424" s="170"/>
      <c r="AJ424" s="260"/>
      <c r="BD424" s="260"/>
      <c r="BY424" s="260"/>
      <c r="CJ424" s="260"/>
      <c r="CN424" s="170"/>
      <c r="CP424" s="260"/>
      <c r="CS424" s="260"/>
      <c r="CV424" s="260"/>
      <c r="CY424" s="260"/>
      <c r="DB424" s="260"/>
    </row>
    <row r="425" spans="1:106" s="144" customFormat="1" x14ac:dyDescent="0.25">
      <c r="A425" s="181"/>
      <c r="C425" s="133"/>
      <c r="L425" s="260"/>
      <c r="X425" s="260"/>
      <c r="Y425" s="170"/>
      <c r="AJ425" s="260"/>
      <c r="BD425" s="260"/>
      <c r="BY425" s="260"/>
      <c r="CJ425" s="260"/>
      <c r="CN425" s="170"/>
      <c r="CP425" s="260"/>
      <c r="CS425" s="260"/>
      <c r="CV425" s="260"/>
      <c r="CY425" s="260"/>
      <c r="DB425" s="260"/>
    </row>
    <row r="426" spans="1:106" s="144" customFormat="1" x14ac:dyDescent="0.25">
      <c r="A426" s="181"/>
      <c r="C426" s="133"/>
      <c r="L426" s="260"/>
      <c r="X426" s="260"/>
      <c r="Y426" s="170"/>
      <c r="AJ426" s="260"/>
      <c r="BD426" s="260"/>
      <c r="BY426" s="260"/>
      <c r="CJ426" s="260"/>
      <c r="CN426" s="170"/>
      <c r="CP426" s="260"/>
      <c r="CS426" s="260"/>
      <c r="CV426" s="260"/>
      <c r="CY426" s="260"/>
      <c r="DB426" s="260"/>
    </row>
    <row r="427" spans="1:106" s="144" customFormat="1" x14ac:dyDescent="0.25">
      <c r="A427" s="181"/>
      <c r="C427" s="133"/>
      <c r="L427" s="260"/>
      <c r="X427" s="260"/>
      <c r="Y427" s="170"/>
      <c r="AJ427" s="260"/>
      <c r="BD427" s="260"/>
      <c r="BY427" s="260"/>
      <c r="CJ427" s="260"/>
      <c r="CN427" s="170"/>
      <c r="CP427" s="260"/>
      <c r="CS427" s="260"/>
      <c r="CV427" s="260"/>
      <c r="CY427" s="260"/>
      <c r="DB427" s="260"/>
    </row>
    <row r="428" spans="1:106" s="144" customFormat="1" x14ac:dyDescent="0.25">
      <c r="A428" s="181"/>
      <c r="C428" s="133"/>
      <c r="L428" s="260"/>
      <c r="X428" s="260"/>
      <c r="Y428" s="170"/>
      <c r="AJ428" s="260"/>
      <c r="BD428" s="260"/>
      <c r="BY428" s="260"/>
      <c r="CJ428" s="260"/>
      <c r="CN428" s="170"/>
      <c r="CP428" s="260"/>
      <c r="CS428" s="260"/>
      <c r="CV428" s="260"/>
      <c r="CY428" s="260"/>
      <c r="DB428" s="260"/>
    </row>
    <row r="429" spans="1:106" s="144" customFormat="1" x14ac:dyDescent="0.25">
      <c r="A429" s="181"/>
      <c r="C429" s="133"/>
      <c r="L429" s="260"/>
      <c r="X429" s="260"/>
      <c r="Y429" s="170"/>
      <c r="AJ429" s="260"/>
      <c r="BD429" s="260"/>
      <c r="BY429" s="260"/>
      <c r="CJ429" s="260"/>
      <c r="CN429" s="170"/>
      <c r="CP429" s="260"/>
      <c r="CS429" s="260"/>
      <c r="CV429" s="260"/>
      <c r="CY429" s="260"/>
      <c r="DB429" s="260"/>
    </row>
    <row r="430" spans="1:106" s="144" customFormat="1" x14ac:dyDescent="0.25">
      <c r="A430" s="181"/>
      <c r="C430" s="133"/>
      <c r="L430" s="260"/>
      <c r="X430" s="260"/>
      <c r="Y430" s="170"/>
      <c r="AJ430" s="260"/>
      <c r="BD430" s="260"/>
      <c r="BY430" s="260"/>
      <c r="CJ430" s="260"/>
      <c r="CN430" s="170"/>
      <c r="CP430" s="260"/>
      <c r="CS430" s="260"/>
      <c r="CV430" s="260"/>
      <c r="CY430" s="260"/>
      <c r="DB430" s="260"/>
    </row>
    <row r="431" spans="1:106" s="144" customFormat="1" x14ac:dyDescent="0.25">
      <c r="A431" s="181"/>
      <c r="C431" s="133"/>
      <c r="L431" s="260"/>
      <c r="X431" s="260"/>
      <c r="Y431" s="170"/>
      <c r="AJ431" s="260"/>
      <c r="BD431" s="260"/>
      <c r="BY431" s="260"/>
      <c r="CJ431" s="260"/>
      <c r="CN431" s="170"/>
      <c r="CP431" s="260"/>
      <c r="CS431" s="260"/>
      <c r="CV431" s="260"/>
      <c r="CY431" s="260"/>
      <c r="DB431" s="260"/>
    </row>
    <row r="432" spans="1:106" s="144" customFormat="1" x14ac:dyDescent="0.25">
      <c r="A432" s="181"/>
      <c r="C432" s="133"/>
      <c r="L432" s="260"/>
      <c r="X432" s="260"/>
      <c r="Y432" s="170"/>
      <c r="AJ432" s="260"/>
      <c r="BD432" s="260"/>
      <c r="BY432" s="260"/>
      <c r="CJ432" s="260"/>
      <c r="CN432" s="170"/>
      <c r="CP432" s="260"/>
      <c r="CS432" s="260"/>
      <c r="CV432" s="260"/>
      <c r="CY432" s="260"/>
      <c r="DB432" s="260"/>
    </row>
    <row r="433" spans="1:106" s="144" customFormat="1" x14ac:dyDescent="0.25">
      <c r="A433" s="181"/>
      <c r="C433" s="133"/>
      <c r="L433" s="260"/>
      <c r="X433" s="260"/>
      <c r="Y433" s="170"/>
      <c r="AJ433" s="260"/>
      <c r="BD433" s="260"/>
      <c r="BY433" s="260"/>
      <c r="CJ433" s="260"/>
      <c r="CN433" s="170"/>
      <c r="CP433" s="260"/>
      <c r="CS433" s="260"/>
      <c r="CV433" s="260"/>
      <c r="CY433" s="260"/>
      <c r="DB433" s="260"/>
    </row>
    <row r="434" spans="1:106" s="144" customFormat="1" x14ac:dyDescent="0.25">
      <c r="A434" s="181"/>
      <c r="C434" s="133"/>
      <c r="L434" s="260"/>
      <c r="X434" s="260"/>
      <c r="Y434" s="170"/>
      <c r="AJ434" s="260"/>
      <c r="BD434" s="260"/>
      <c r="BY434" s="260"/>
      <c r="CJ434" s="260"/>
      <c r="CN434" s="170"/>
      <c r="CP434" s="260"/>
      <c r="CS434" s="260"/>
      <c r="CV434" s="260"/>
      <c r="CY434" s="260"/>
      <c r="DB434" s="260"/>
    </row>
    <row r="435" spans="1:106" s="144" customFormat="1" x14ac:dyDescent="0.25">
      <c r="A435" s="181"/>
      <c r="C435" s="133"/>
      <c r="L435" s="260"/>
      <c r="X435" s="260"/>
      <c r="Y435" s="170"/>
      <c r="AJ435" s="260"/>
      <c r="BD435" s="260"/>
      <c r="BY435" s="260"/>
      <c r="CJ435" s="260"/>
      <c r="CN435" s="170"/>
      <c r="CP435" s="260"/>
      <c r="CS435" s="260"/>
      <c r="CV435" s="260"/>
      <c r="CY435" s="260"/>
      <c r="DB435" s="260"/>
    </row>
    <row r="436" spans="1:106" s="144" customFormat="1" x14ac:dyDescent="0.25">
      <c r="A436" s="181"/>
      <c r="C436" s="133"/>
      <c r="L436" s="260"/>
      <c r="X436" s="260"/>
      <c r="Y436" s="170"/>
      <c r="AJ436" s="260"/>
      <c r="BD436" s="260"/>
      <c r="BY436" s="260"/>
      <c r="CJ436" s="260"/>
      <c r="CN436" s="170"/>
      <c r="CP436" s="260"/>
      <c r="CS436" s="260"/>
      <c r="CV436" s="260"/>
      <c r="CY436" s="260"/>
      <c r="DB436" s="260"/>
    </row>
    <row r="437" spans="1:106" s="144" customFormat="1" x14ac:dyDescent="0.25">
      <c r="A437" s="181"/>
      <c r="C437" s="133"/>
      <c r="L437" s="260"/>
      <c r="X437" s="260"/>
      <c r="Y437" s="170"/>
      <c r="AJ437" s="260"/>
      <c r="BD437" s="260"/>
      <c r="BY437" s="260"/>
      <c r="CJ437" s="260"/>
      <c r="CN437" s="170"/>
      <c r="CP437" s="260"/>
      <c r="CS437" s="260"/>
      <c r="CV437" s="260"/>
      <c r="CY437" s="260"/>
      <c r="DB437" s="260"/>
    </row>
    <row r="438" spans="1:106" s="144" customFormat="1" x14ac:dyDescent="0.25">
      <c r="A438" s="181"/>
      <c r="C438" s="133"/>
      <c r="L438" s="260"/>
      <c r="X438" s="260"/>
      <c r="Y438" s="170"/>
      <c r="AJ438" s="260"/>
      <c r="BD438" s="260"/>
      <c r="BY438" s="260"/>
      <c r="CJ438" s="260"/>
      <c r="CN438" s="170"/>
      <c r="CP438" s="260"/>
      <c r="CS438" s="260"/>
      <c r="CV438" s="260"/>
      <c r="CY438" s="260"/>
      <c r="DB438" s="260"/>
    </row>
    <row r="439" spans="1:106" s="144" customFormat="1" x14ac:dyDescent="0.25">
      <c r="A439" s="181"/>
      <c r="C439" s="133"/>
      <c r="L439" s="260"/>
      <c r="X439" s="260"/>
      <c r="Y439" s="170"/>
      <c r="AJ439" s="260"/>
      <c r="BD439" s="260"/>
      <c r="BY439" s="260"/>
      <c r="CJ439" s="260"/>
      <c r="CN439" s="170"/>
      <c r="CP439" s="260"/>
      <c r="CS439" s="260"/>
      <c r="CV439" s="260"/>
      <c r="CY439" s="260"/>
      <c r="DB439" s="260"/>
    </row>
    <row r="440" spans="1:106" s="144" customFormat="1" x14ac:dyDescent="0.25">
      <c r="A440" s="181"/>
      <c r="C440" s="133"/>
      <c r="L440" s="260"/>
      <c r="X440" s="260"/>
      <c r="Y440" s="170"/>
      <c r="AJ440" s="260"/>
      <c r="BD440" s="260"/>
      <c r="BY440" s="260"/>
      <c r="CJ440" s="260"/>
      <c r="CN440" s="170"/>
      <c r="CP440" s="260"/>
      <c r="CS440" s="260"/>
      <c r="CV440" s="260"/>
      <c r="CY440" s="260"/>
      <c r="DB440" s="260"/>
    </row>
    <row r="441" spans="1:106" s="144" customFormat="1" x14ac:dyDescent="0.25">
      <c r="A441" s="181"/>
      <c r="C441" s="133"/>
      <c r="L441" s="260"/>
      <c r="X441" s="260"/>
      <c r="Y441" s="170"/>
      <c r="AJ441" s="260"/>
      <c r="BD441" s="260"/>
      <c r="BY441" s="260"/>
      <c r="CJ441" s="260"/>
      <c r="CN441" s="170"/>
      <c r="CP441" s="260"/>
      <c r="CS441" s="260"/>
      <c r="CV441" s="260"/>
      <c r="CY441" s="260"/>
      <c r="DB441" s="260"/>
    </row>
    <row r="442" spans="1:106" s="144" customFormat="1" x14ac:dyDescent="0.25">
      <c r="A442" s="181"/>
      <c r="C442" s="133"/>
      <c r="L442" s="260"/>
      <c r="X442" s="260"/>
      <c r="Y442" s="170"/>
      <c r="AJ442" s="260"/>
      <c r="BD442" s="260"/>
      <c r="BY442" s="260"/>
      <c r="CJ442" s="260"/>
      <c r="CN442" s="170"/>
      <c r="CP442" s="260"/>
      <c r="CS442" s="260"/>
      <c r="CV442" s="260"/>
      <c r="CY442" s="260"/>
      <c r="DB442" s="260"/>
    </row>
    <row r="443" spans="1:106" s="144" customFormat="1" x14ac:dyDescent="0.25">
      <c r="A443" s="181"/>
      <c r="C443" s="133"/>
      <c r="L443" s="260"/>
      <c r="X443" s="260"/>
      <c r="Y443" s="170"/>
      <c r="AJ443" s="260"/>
      <c r="BD443" s="260"/>
      <c r="BY443" s="260"/>
      <c r="CJ443" s="260"/>
      <c r="CN443" s="170"/>
      <c r="CP443" s="260"/>
      <c r="CS443" s="260"/>
      <c r="CV443" s="260"/>
      <c r="CY443" s="260"/>
      <c r="DB443" s="260"/>
    </row>
    <row r="444" spans="1:106" s="144" customFormat="1" x14ac:dyDescent="0.25">
      <c r="A444" s="181"/>
      <c r="C444" s="133"/>
      <c r="L444" s="260"/>
      <c r="X444" s="260"/>
      <c r="Y444" s="170"/>
      <c r="AJ444" s="260"/>
      <c r="BD444" s="260"/>
      <c r="BY444" s="260"/>
      <c r="CJ444" s="260"/>
      <c r="CN444" s="170"/>
      <c r="CP444" s="260"/>
      <c r="CS444" s="260"/>
      <c r="CV444" s="260"/>
      <c r="CY444" s="260"/>
      <c r="DB444" s="260"/>
    </row>
    <row r="445" spans="1:106" s="144" customFormat="1" x14ac:dyDescent="0.25">
      <c r="A445" s="181"/>
      <c r="C445" s="133"/>
      <c r="L445" s="260"/>
      <c r="X445" s="260"/>
      <c r="Y445" s="170"/>
      <c r="AJ445" s="260"/>
      <c r="BD445" s="260"/>
      <c r="BY445" s="260"/>
      <c r="CJ445" s="260"/>
      <c r="CN445" s="170"/>
      <c r="CP445" s="260"/>
      <c r="CS445" s="260"/>
      <c r="CV445" s="260"/>
      <c r="CY445" s="260"/>
      <c r="DB445" s="260"/>
    </row>
    <row r="446" spans="1:106" s="144" customFormat="1" x14ac:dyDescent="0.25">
      <c r="A446" s="181"/>
      <c r="C446" s="133"/>
      <c r="L446" s="260"/>
      <c r="X446" s="260"/>
      <c r="Y446" s="170"/>
      <c r="AJ446" s="260"/>
      <c r="BD446" s="260"/>
      <c r="BY446" s="260"/>
      <c r="CJ446" s="260"/>
      <c r="CN446" s="170"/>
      <c r="CP446" s="260"/>
      <c r="CS446" s="260"/>
      <c r="CV446" s="260"/>
      <c r="CY446" s="260"/>
      <c r="DB446" s="260"/>
    </row>
    <row r="447" spans="1:106" s="144" customFormat="1" x14ac:dyDescent="0.25">
      <c r="A447" s="181"/>
      <c r="C447" s="133"/>
      <c r="L447" s="260"/>
      <c r="X447" s="260"/>
      <c r="Y447" s="170"/>
      <c r="AJ447" s="260"/>
      <c r="BD447" s="260"/>
      <c r="BY447" s="260"/>
      <c r="CJ447" s="260"/>
      <c r="CN447" s="170"/>
      <c r="CP447" s="260"/>
      <c r="CS447" s="260"/>
      <c r="CV447" s="260"/>
      <c r="CY447" s="260"/>
      <c r="DB447" s="260"/>
    </row>
    <row r="448" spans="1:106" s="144" customFormat="1" x14ac:dyDescent="0.25">
      <c r="A448" s="181"/>
      <c r="C448" s="133"/>
      <c r="L448" s="260"/>
      <c r="X448" s="260"/>
      <c r="Y448" s="170"/>
      <c r="AJ448" s="260"/>
      <c r="BD448" s="260"/>
      <c r="BY448" s="260"/>
      <c r="CJ448" s="260"/>
      <c r="CN448" s="170"/>
      <c r="CP448" s="260"/>
      <c r="CS448" s="260"/>
      <c r="CV448" s="260"/>
      <c r="CY448" s="260"/>
      <c r="DB448" s="260"/>
    </row>
    <row r="449" spans="1:106" s="144" customFormat="1" x14ac:dyDescent="0.25">
      <c r="A449" s="181"/>
      <c r="C449" s="133"/>
      <c r="L449" s="260"/>
      <c r="X449" s="260"/>
      <c r="Y449" s="170"/>
      <c r="AJ449" s="260"/>
      <c r="BD449" s="260"/>
      <c r="BY449" s="260"/>
      <c r="CJ449" s="260"/>
      <c r="CN449" s="170"/>
      <c r="CP449" s="260"/>
      <c r="CS449" s="260"/>
      <c r="CV449" s="260"/>
      <c r="CY449" s="260"/>
      <c r="DB449" s="260"/>
    </row>
    <row r="450" spans="1:106" s="144" customFormat="1" x14ac:dyDescent="0.25">
      <c r="A450" s="181"/>
      <c r="C450" s="133"/>
      <c r="L450" s="260"/>
      <c r="X450" s="260"/>
      <c r="Y450" s="170"/>
      <c r="AJ450" s="260"/>
      <c r="BD450" s="260"/>
      <c r="BY450" s="260"/>
      <c r="CJ450" s="260"/>
      <c r="CN450" s="170"/>
      <c r="CP450" s="260"/>
      <c r="CS450" s="260"/>
      <c r="CV450" s="260"/>
      <c r="CY450" s="260"/>
      <c r="DB450" s="260"/>
    </row>
    <row r="451" spans="1:106" s="144" customFormat="1" x14ac:dyDescent="0.25">
      <c r="A451" s="181"/>
      <c r="C451" s="133"/>
      <c r="L451" s="260"/>
      <c r="X451" s="260"/>
      <c r="Y451" s="170"/>
      <c r="AJ451" s="260"/>
      <c r="BD451" s="260"/>
      <c r="BY451" s="260"/>
      <c r="CJ451" s="260"/>
      <c r="CN451" s="170"/>
      <c r="CP451" s="260"/>
      <c r="CS451" s="260"/>
      <c r="CV451" s="260"/>
      <c r="CY451" s="260"/>
      <c r="DB451" s="260"/>
    </row>
    <row r="452" spans="1:106" s="144" customFormat="1" x14ac:dyDescent="0.25">
      <c r="A452" s="181"/>
      <c r="C452" s="133"/>
      <c r="L452" s="260"/>
      <c r="X452" s="260"/>
      <c r="Y452" s="170"/>
      <c r="AJ452" s="260"/>
      <c r="BD452" s="260"/>
      <c r="BY452" s="260"/>
      <c r="CJ452" s="260"/>
      <c r="CN452" s="170"/>
      <c r="CP452" s="260"/>
      <c r="CS452" s="260"/>
      <c r="CV452" s="260"/>
      <c r="CY452" s="260"/>
      <c r="DB452" s="260"/>
    </row>
    <row r="453" spans="1:106" s="144" customFormat="1" x14ac:dyDescent="0.25">
      <c r="A453" s="181"/>
      <c r="C453" s="133"/>
      <c r="L453" s="260"/>
      <c r="X453" s="260"/>
      <c r="Y453" s="170"/>
      <c r="AJ453" s="260"/>
      <c r="BD453" s="260"/>
      <c r="BY453" s="260"/>
      <c r="CJ453" s="260"/>
      <c r="CN453" s="170"/>
      <c r="CP453" s="260"/>
      <c r="CS453" s="260"/>
      <c r="CV453" s="260"/>
      <c r="CY453" s="260"/>
      <c r="DB453" s="260"/>
    </row>
    <row r="454" spans="1:106" s="144" customFormat="1" x14ac:dyDescent="0.25">
      <c r="A454" s="181"/>
      <c r="C454" s="133"/>
      <c r="L454" s="260"/>
      <c r="X454" s="260"/>
      <c r="Y454" s="170"/>
      <c r="AJ454" s="260"/>
      <c r="BD454" s="260"/>
      <c r="BY454" s="260"/>
      <c r="CJ454" s="260"/>
      <c r="CN454" s="170"/>
      <c r="CP454" s="260"/>
      <c r="CS454" s="260"/>
      <c r="CV454" s="260"/>
      <c r="CY454" s="260"/>
      <c r="DB454" s="260"/>
    </row>
    <row r="455" spans="1:106" s="144" customFormat="1" x14ac:dyDescent="0.25">
      <c r="A455" s="181"/>
      <c r="C455" s="133"/>
      <c r="L455" s="260"/>
      <c r="X455" s="260"/>
      <c r="Y455" s="170"/>
      <c r="AJ455" s="260"/>
      <c r="BD455" s="260"/>
      <c r="BY455" s="260"/>
      <c r="CJ455" s="260"/>
      <c r="CN455" s="170"/>
      <c r="CP455" s="260"/>
      <c r="CS455" s="260"/>
      <c r="CV455" s="260"/>
      <c r="CY455" s="260"/>
      <c r="DB455" s="260"/>
    </row>
    <row r="456" spans="1:106" s="144" customFormat="1" x14ac:dyDescent="0.25">
      <c r="A456" s="181"/>
      <c r="C456" s="133"/>
      <c r="L456" s="260"/>
      <c r="X456" s="260"/>
      <c r="Y456" s="170"/>
      <c r="AJ456" s="260"/>
      <c r="BD456" s="260"/>
      <c r="BY456" s="260"/>
      <c r="CJ456" s="260"/>
      <c r="CN456" s="170"/>
      <c r="CP456" s="260"/>
      <c r="CS456" s="260"/>
      <c r="CV456" s="260"/>
      <c r="CY456" s="260"/>
      <c r="DB456" s="260"/>
    </row>
    <row r="457" spans="1:106" s="144" customFormat="1" x14ac:dyDescent="0.25">
      <c r="A457" s="181"/>
      <c r="C457" s="133"/>
      <c r="L457" s="260"/>
      <c r="X457" s="260"/>
      <c r="Y457" s="170"/>
      <c r="AJ457" s="260"/>
      <c r="BD457" s="260"/>
      <c r="BY457" s="260"/>
      <c r="CJ457" s="260"/>
      <c r="CN457" s="170"/>
      <c r="CP457" s="260"/>
      <c r="CS457" s="260"/>
      <c r="CV457" s="260"/>
      <c r="CY457" s="260"/>
      <c r="DB457" s="260"/>
    </row>
    <row r="458" spans="1:106" s="144" customFormat="1" x14ac:dyDescent="0.25">
      <c r="A458" s="181"/>
      <c r="C458" s="133"/>
      <c r="L458" s="260"/>
      <c r="X458" s="260"/>
      <c r="Y458" s="170"/>
      <c r="AJ458" s="260"/>
      <c r="BD458" s="260"/>
      <c r="BY458" s="260"/>
      <c r="CJ458" s="260"/>
      <c r="CN458" s="170"/>
      <c r="CP458" s="260"/>
      <c r="CS458" s="260"/>
      <c r="CV458" s="260"/>
      <c r="CY458" s="260"/>
      <c r="DB458" s="260"/>
    </row>
    <row r="459" spans="1:106" s="144" customFormat="1" x14ac:dyDescent="0.25">
      <c r="A459" s="181"/>
      <c r="C459" s="133"/>
      <c r="L459" s="260"/>
      <c r="X459" s="260"/>
      <c r="Y459" s="170"/>
      <c r="AJ459" s="260"/>
      <c r="BD459" s="260"/>
      <c r="BY459" s="260"/>
      <c r="CJ459" s="260"/>
      <c r="CN459" s="170"/>
      <c r="CP459" s="260"/>
      <c r="CS459" s="260"/>
      <c r="CV459" s="260"/>
      <c r="CY459" s="260"/>
      <c r="DB459" s="260"/>
    </row>
    <row r="460" spans="1:106" s="144" customFormat="1" x14ac:dyDescent="0.25">
      <c r="A460" s="181"/>
      <c r="C460" s="133"/>
      <c r="L460" s="260"/>
      <c r="X460" s="260"/>
      <c r="Y460" s="170"/>
      <c r="AJ460" s="260"/>
      <c r="BD460" s="260"/>
      <c r="BY460" s="260"/>
      <c r="CJ460" s="260"/>
      <c r="CN460" s="170"/>
      <c r="CP460" s="260"/>
      <c r="CS460" s="260"/>
      <c r="CV460" s="260"/>
      <c r="CY460" s="260"/>
      <c r="DB460" s="260"/>
    </row>
    <row r="461" spans="1:106" s="144" customFormat="1" x14ac:dyDescent="0.25">
      <c r="A461" s="181"/>
      <c r="C461" s="133"/>
      <c r="L461" s="260"/>
      <c r="X461" s="260"/>
      <c r="Y461" s="170"/>
      <c r="AJ461" s="260"/>
      <c r="BD461" s="260"/>
      <c r="BY461" s="260"/>
      <c r="CJ461" s="260"/>
      <c r="CN461" s="170"/>
      <c r="CP461" s="260"/>
      <c r="CS461" s="260"/>
      <c r="CV461" s="260"/>
      <c r="CY461" s="260"/>
      <c r="DB461" s="260"/>
    </row>
    <row r="462" spans="1:106" s="144" customFormat="1" x14ac:dyDescent="0.25">
      <c r="A462" s="181"/>
      <c r="C462" s="133"/>
      <c r="L462" s="260"/>
      <c r="X462" s="260"/>
      <c r="Y462" s="170"/>
      <c r="AJ462" s="260"/>
      <c r="BD462" s="260"/>
      <c r="BY462" s="260"/>
      <c r="CJ462" s="260"/>
      <c r="CN462" s="170"/>
      <c r="CP462" s="260"/>
      <c r="CS462" s="260"/>
      <c r="CV462" s="260"/>
      <c r="CY462" s="260"/>
      <c r="DB462" s="260"/>
    </row>
    <row r="463" spans="1:106" s="144" customFormat="1" x14ac:dyDescent="0.25">
      <c r="A463" s="181"/>
      <c r="C463" s="133"/>
      <c r="L463" s="260"/>
      <c r="X463" s="260"/>
      <c r="Y463" s="170"/>
      <c r="AJ463" s="260"/>
      <c r="BD463" s="260"/>
      <c r="BY463" s="260"/>
      <c r="CJ463" s="260"/>
      <c r="CN463" s="170"/>
      <c r="CP463" s="260"/>
      <c r="CS463" s="260"/>
      <c r="CV463" s="260"/>
      <c r="CY463" s="260"/>
      <c r="DB463" s="260"/>
    </row>
    <row r="464" spans="1:106" s="144" customFormat="1" x14ac:dyDescent="0.25">
      <c r="A464" s="181"/>
      <c r="C464" s="133"/>
      <c r="L464" s="260"/>
      <c r="X464" s="260"/>
      <c r="Y464" s="170"/>
      <c r="AJ464" s="260"/>
      <c r="BD464" s="260"/>
      <c r="BY464" s="260"/>
      <c r="CJ464" s="260"/>
      <c r="CN464" s="170"/>
      <c r="CP464" s="260"/>
      <c r="CS464" s="260"/>
      <c r="CV464" s="260"/>
      <c r="CY464" s="260"/>
      <c r="DB464" s="260"/>
    </row>
    <row r="465" spans="1:106" s="144" customFormat="1" x14ac:dyDescent="0.25">
      <c r="A465" s="181"/>
      <c r="C465" s="133"/>
      <c r="L465" s="260"/>
      <c r="X465" s="260"/>
      <c r="Y465" s="170"/>
      <c r="AJ465" s="260"/>
      <c r="BD465" s="260"/>
      <c r="BY465" s="260"/>
      <c r="CJ465" s="260"/>
      <c r="CN465" s="170"/>
      <c r="CP465" s="260"/>
      <c r="CS465" s="260"/>
      <c r="CV465" s="260"/>
      <c r="CY465" s="260"/>
      <c r="DB465" s="260"/>
    </row>
    <row r="466" spans="1:106" s="144" customFormat="1" x14ac:dyDescent="0.25">
      <c r="A466" s="181"/>
      <c r="C466" s="133"/>
      <c r="L466" s="260"/>
      <c r="X466" s="260"/>
      <c r="Y466" s="170"/>
      <c r="AJ466" s="260"/>
      <c r="BD466" s="260"/>
      <c r="BY466" s="260"/>
      <c r="CJ466" s="260"/>
      <c r="CN466" s="170"/>
      <c r="CP466" s="260"/>
      <c r="CS466" s="260"/>
      <c r="CV466" s="260"/>
      <c r="CY466" s="260"/>
      <c r="DB466" s="260"/>
    </row>
    <row r="467" spans="1:106" s="144" customFormat="1" x14ac:dyDescent="0.25">
      <c r="A467" s="181"/>
      <c r="C467" s="133"/>
      <c r="L467" s="260"/>
      <c r="X467" s="260"/>
      <c r="Y467" s="170"/>
      <c r="AJ467" s="260"/>
      <c r="BD467" s="260"/>
      <c r="BY467" s="260"/>
      <c r="CJ467" s="260"/>
      <c r="CN467" s="170"/>
      <c r="CP467" s="260"/>
      <c r="CS467" s="260"/>
      <c r="CV467" s="260"/>
      <c r="CY467" s="260"/>
      <c r="DB467" s="260"/>
    </row>
    <row r="468" spans="1:106" s="144" customFormat="1" x14ac:dyDescent="0.25">
      <c r="A468" s="181"/>
      <c r="C468" s="133"/>
      <c r="L468" s="260"/>
      <c r="X468" s="260"/>
      <c r="Y468" s="170"/>
      <c r="AJ468" s="260"/>
      <c r="BD468" s="260"/>
      <c r="BY468" s="260"/>
      <c r="CJ468" s="260"/>
      <c r="CN468" s="170"/>
      <c r="CP468" s="260"/>
      <c r="CS468" s="260"/>
      <c r="CV468" s="260"/>
      <c r="CY468" s="260"/>
      <c r="DB468" s="260"/>
    </row>
    <row r="469" spans="1:106" s="144" customFormat="1" x14ac:dyDescent="0.25">
      <c r="A469" s="181"/>
      <c r="C469" s="133"/>
      <c r="L469" s="260"/>
      <c r="X469" s="260"/>
      <c r="Y469" s="170"/>
      <c r="AJ469" s="260"/>
      <c r="BD469" s="260"/>
      <c r="BY469" s="260"/>
      <c r="CJ469" s="260"/>
      <c r="CN469" s="170"/>
      <c r="CP469" s="260"/>
      <c r="CS469" s="260"/>
      <c r="CV469" s="260"/>
      <c r="CY469" s="260"/>
      <c r="DB469" s="260"/>
    </row>
    <row r="470" spans="1:106" s="144" customFormat="1" x14ac:dyDescent="0.25">
      <c r="A470" s="181"/>
      <c r="C470" s="133"/>
      <c r="L470" s="260"/>
      <c r="X470" s="260"/>
      <c r="Y470" s="170"/>
      <c r="AJ470" s="260"/>
      <c r="BD470" s="260"/>
      <c r="BY470" s="260"/>
      <c r="CJ470" s="260"/>
      <c r="CN470" s="170"/>
      <c r="CP470" s="260"/>
      <c r="CS470" s="260"/>
      <c r="CV470" s="260"/>
      <c r="CY470" s="260"/>
      <c r="DB470" s="260"/>
    </row>
    <row r="471" spans="1:106" s="144" customFormat="1" x14ac:dyDescent="0.25">
      <c r="A471" s="181"/>
      <c r="C471" s="133"/>
      <c r="L471" s="260"/>
      <c r="X471" s="260"/>
      <c r="Y471" s="170"/>
      <c r="AJ471" s="260"/>
      <c r="BD471" s="260"/>
      <c r="BY471" s="260"/>
      <c r="CJ471" s="260"/>
      <c r="CN471" s="170"/>
      <c r="CP471" s="260"/>
      <c r="CS471" s="260"/>
      <c r="CV471" s="260"/>
      <c r="CY471" s="260"/>
      <c r="DB471" s="260"/>
    </row>
    <row r="472" spans="1:106" s="144" customFormat="1" x14ac:dyDescent="0.25">
      <c r="A472" s="181"/>
      <c r="C472" s="133"/>
      <c r="L472" s="260"/>
      <c r="X472" s="260"/>
      <c r="Y472" s="170"/>
      <c r="AJ472" s="260"/>
      <c r="BD472" s="260"/>
      <c r="BY472" s="260"/>
      <c r="CJ472" s="260"/>
      <c r="CN472" s="170"/>
      <c r="CP472" s="260"/>
      <c r="CS472" s="260"/>
      <c r="CV472" s="260"/>
      <c r="CY472" s="260"/>
      <c r="DB472" s="260"/>
    </row>
    <row r="473" spans="1:106" s="144" customFormat="1" x14ac:dyDescent="0.25">
      <c r="A473" s="181"/>
      <c r="C473" s="133"/>
      <c r="L473" s="260"/>
      <c r="X473" s="260"/>
      <c r="Y473" s="170"/>
      <c r="AJ473" s="260"/>
      <c r="BD473" s="260"/>
      <c r="BY473" s="260"/>
      <c r="CJ473" s="260"/>
      <c r="CN473" s="170"/>
      <c r="CP473" s="260"/>
      <c r="CS473" s="260"/>
      <c r="CV473" s="260"/>
      <c r="CY473" s="260"/>
      <c r="DB473" s="260"/>
    </row>
    <row r="474" spans="1:106" s="144" customFormat="1" x14ac:dyDescent="0.25">
      <c r="A474" s="181"/>
      <c r="C474" s="133"/>
      <c r="L474" s="260"/>
      <c r="X474" s="260"/>
      <c r="Y474" s="170"/>
      <c r="AJ474" s="260"/>
      <c r="BD474" s="260"/>
      <c r="BY474" s="260"/>
      <c r="CJ474" s="260"/>
      <c r="CN474" s="170"/>
      <c r="CP474" s="260"/>
      <c r="CS474" s="260"/>
      <c r="CV474" s="260"/>
      <c r="CY474" s="260"/>
      <c r="DB474" s="260"/>
    </row>
    <row r="475" spans="1:106" s="144" customFormat="1" x14ac:dyDescent="0.25">
      <c r="A475" s="181"/>
      <c r="C475" s="133"/>
      <c r="L475" s="260"/>
      <c r="X475" s="260"/>
      <c r="Y475" s="170"/>
      <c r="AJ475" s="260"/>
      <c r="BD475" s="260"/>
      <c r="BY475" s="260"/>
      <c r="CJ475" s="260"/>
      <c r="CN475" s="170"/>
      <c r="CP475" s="260"/>
      <c r="CS475" s="260"/>
      <c r="CV475" s="260"/>
      <c r="CY475" s="260"/>
      <c r="DB475" s="260"/>
    </row>
    <row r="476" spans="1:106" s="144" customFormat="1" x14ac:dyDescent="0.25">
      <c r="A476" s="181"/>
      <c r="C476" s="133"/>
      <c r="L476" s="260"/>
      <c r="X476" s="260"/>
      <c r="Y476" s="170"/>
      <c r="AJ476" s="260"/>
      <c r="BD476" s="260"/>
      <c r="BY476" s="260"/>
      <c r="CJ476" s="260"/>
      <c r="CN476" s="170"/>
      <c r="CP476" s="260"/>
      <c r="CS476" s="260"/>
      <c r="CV476" s="260"/>
      <c r="CY476" s="260"/>
      <c r="DB476" s="260"/>
    </row>
    <row r="477" spans="1:106" s="144" customFormat="1" x14ac:dyDescent="0.25">
      <c r="A477" s="181"/>
      <c r="C477" s="133"/>
      <c r="L477" s="260"/>
      <c r="X477" s="260"/>
      <c r="Y477" s="170"/>
      <c r="AJ477" s="260"/>
      <c r="BD477" s="260"/>
      <c r="BY477" s="260"/>
      <c r="CJ477" s="260"/>
      <c r="CN477" s="170"/>
      <c r="CP477" s="260"/>
      <c r="CS477" s="260"/>
      <c r="CV477" s="260"/>
      <c r="CY477" s="260"/>
      <c r="DB477" s="260"/>
    </row>
    <row r="478" spans="1:106" s="144" customFormat="1" x14ac:dyDescent="0.25">
      <c r="A478" s="181"/>
      <c r="C478" s="133"/>
      <c r="L478" s="260"/>
      <c r="X478" s="260"/>
      <c r="Y478" s="170"/>
      <c r="AJ478" s="260"/>
      <c r="BD478" s="260"/>
      <c r="BY478" s="260"/>
      <c r="CJ478" s="260"/>
      <c r="CN478" s="170"/>
      <c r="CP478" s="260"/>
      <c r="CS478" s="260"/>
      <c r="CV478" s="260"/>
      <c r="CY478" s="260"/>
      <c r="DB478" s="260"/>
    </row>
    <row r="479" spans="1:106" s="144" customFormat="1" x14ac:dyDescent="0.25">
      <c r="A479" s="181"/>
      <c r="C479" s="133"/>
      <c r="L479" s="260"/>
      <c r="X479" s="260"/>
      <c r="Y479" s="170"/>
      <c r="AJ479" s="260"/>
      <c r="BD479" s="260"/>
      <c r="BY479" s="260"/>
      <c r="CJ479" s="260"/>
      <c r="CN479" s="170"/>
      <c r="CP479" s="260"/>
      <c r="CS479" s="260"/>
      <c r="CV479" s="260"/>
      <c r="CY479" s="260"/>
      <c r="DB479" s="260"/>
    </row>
    <row r="480" spans="1:106" s="144" customFormat="1" x14ac:dyDescent="0.25">
      <c r="A480" s="181"/>
      <c r="C480" s="133"/>
      <c r="L480" s="260"/>
      <c r="X480" s="260"/>
      <c r="Y480" s="170"/>
      <c r="AJ480" s="260"/>
      <c r="BD480" s="260"/>
      <c r="BY480" s="260"/>
      <c r="CJ480" s="260"/>
      <c r="CN480" s="170"/>
      <c r="CP480" s="260"/>
      <c r="CS480" s="260"/>
      <c r="CV480" s="260"/>
      <c r="CY480" s="260"/>
      <c r="DB480" s="260"/>
    </row>
    <row r="481" spans="1:106" s="144" customFormat="1" x14ac:dyDescent="0.25">
      <c r="A481" s="181"/>
      <c r="C481" s="133"/>
      <c r="L481" s="260"/>
      <c r="X481" s="260"/>
      <c r="Y481" s="170"/>
      <c r="AJ481" s="260"/>
      <c r="BD481" s="260"/>
      <c r="BY481" s="260"/>
      <c r="CJ481" s="260"/>
      <c r="CN481" s="170"/>
      <c r="CP481" s="260"/>
      <c r="CS481" s="260"/>
      <c r="CV481" s="260"/>
      <c r="CY481" s="260"/>
      <c r="DB481" s="260"/>
    </row>
    <row r="482" spans="1:106" s="144" customFormat="1" x14ac:dyDescent="0.25">
      <c r="A482" s="181"/>
      <c r="C482" s="133"/>
      <c r="L482" s="260"/>
      <c r="X482" s="260"/>
      <c r="Y482" s="170"/>
      <c r="AJ482" s="260"/>
      <c r="BD482" s="260"/>
      <c r="BY482" s="260"/>
      <c r="CJ482" s="260"/>
      <c r="CN482" s="170"/>
      <c r="CP482" s="260"/>
      <c r="CS482" s="260"/>
      <c r="CV482" s="260"/>
      <c r="CY482" s="260"/>
      <c r="DB482" s="260"/>
    </row>
    <row r="483" spans="1:106" s="144" customFormat="1" x14ac:dyDescent="0.25">
      <c r="A483" s="181"/>
      <c r="C483" s="133"/>
      <c r="L483" s="260"/>
      <c r="X483" s="260"/>
      <c r="Y483" s="170"/>
      <c r="AJ483" s="260"/>
      <c r="BD483" s="260"/>
      <c r="BY483" s="260"/>
      <c r="CJ483" s="260"/>
      <c r="CN483" s="170"/>
      <c r="CP483" s="260"/>
      <c r="CS483" s="260"/>
      <c r="CV483" s="260"/>
      <c r="CY483" s="260"/>
      <c r="DB483" s="260"/>
    </row>
    <row r="484" spans="1:106" s="144" customFormat="1" x14ac:dyDescent="0.25">
      <c r="A484" s="181"/>
      <c r="C484" s="133"/>
      <c r="L484" s="260"/>
      <c r="X484" s="260"/>
      <c r="Y484" s="170"/>
      <c r="AJ484" s="260"/>
      <c r="BD484" s="260"/>
      <c r="BY484" s="260"/>
      <c r="CJ484" s="260"/>
      <c r="CN484" s="170"/>
      <c r="CP484" s="260"/>
      <c r="CS484" s="260"/>
      <c r="CV484" s="260"/>
      <c r="CY484" s="260"/>
      <c r="DB484" s="260"/>
    </row>
    <row r="485" spans="1:106" s="144" customFormat="1" x14ac:dyDescent="0.25">
      <c r="A485" s="181"/>
      <c r="C485" s="133"/>
      <c r="L485" s="260"/>
      <c r="X485" s="260"/>
      <c r="Y485" s="170"/>
      <c r="AJ485" s="260"/>
      <c r="BD485" s="260"/>
      <c r="BY485" s="260"/>
      <c r="CJ485" s="260"/>
      <c r="CN485" s="170"/>
      <c r="CP485" s="260"/>
      <c r="CS485" s="260"/>
      <c r="CV485" s="260"/>
      <c r="CY485" s="260"/>
      <c r="DB485" s="260"/>
    </row>
    <row r="486" spans="1:106" s="144" customFormat="1" x14ac:dyDescent="0.25">
      <c r="A486" s="181"/>
      <c r="C486" s="133"/>
      <c r="L486" s="260"/>
      <c r="X486" s="260"/>
      <c r="Y486" s="170"/>
      <c r="AJ486" s="260"/>
      <c r="BD486" s="260"/>
      <c r="BY486" s="260"/>
      <c r="CJ486" s="260"/>
      <c r="CN486" s="170"/>
      <c r="CP486" s="260"/>
      <c r="CS486" s="260"/>
      <c r="CV486" s="260"/>
      <c r="CY486" s="260"/>
      <c r="DB486" s="260"/>
    </row>
    <row r="487" spans="1:106" s="144" customFormat="1" x14ac:dyDescent="0.25">
      <c r="A487" s="181"/>
      <c r="C487" s="133"/>
      <c r="L487" s="260"/>
      <c r="X487" s="260"/>
      <c r="Y487" s="170"/>
      <c r="AJ487" s="260"/>
      <c r="BD487" s="260"/>
      <c r="BY487" s="260"/>
      <c r="CJ487" s="260"/>
      <c r="CN487" s="170"/>
      <c r="CP487" s="260"/>
      <c r="CS487" s="260"/>
      <c r="CV487" s="260"/>
      <c r="CY487" s="260"/>
      <c r="DB487" s="260"/>
    </row>
    <row r="488" spans="1:106" s="144" customFormat="1" x14ac:dyDescent="0.25">
      <c r="A488" s="181"/>
      <c r="C488" s="133"/>
      <c r="L488" s="260"/>
      <c r="X488" s="260"/>
      <c r="Y488" s="170"/>
      <c r="AJ488" s="260"/>
      <c r="BD488" s="260"/>
      <c r="BY488" s="260"/>
      <c r="CJ488" s="260"/>
      <c r="CN488" s="170"/>
      <c r="CP488" s="260"/>
      <c r="CS488" s="260"/>
      <c r="CV488" s="260"/>
      <c r="CY488" s="260"/>
      <c r="DB488" s="260"/>
    </row>
    <row r="489" spans="1:106" s="144" customFormat="1" x14ac:dyDescent="0.25">
      <c r="A489" s="181"/>
      <c r="C489" s="133"/>
      <c r="L489" s="260"/>
      <c r="X489" s="260"/>
      <c r="Y489" s="170"/>
      <c r="AJ489" s="260"/>
      <c r="BD489" s="260"/>
      <c r="BY489" s="260"/>
      <c r="CJ489" s="260"/>
      <c r="CN489" s="170"/>
      <c r="CP489" s="260"/>
      <c r="CS489" s="260"/>
      <c r="CV489" s="260"/>
      <c r="CY489" s="260"/>
      <c r="DB489" s="260"/>
    </row>
    <row r="490" spans="1:106" s="144" customFormat="1" x14ac:dyDescent="0.25">
      <c r="A490" s="181"/>
      <c r="C490" s="133"/>
      <c r="L490" s="260"/>
      <c r="X490" s="260"/>
      <c r="Y490" s="170"/>
      <c r="AJ490" s="260"/>
      <c r="BD490" s="260"/>
      <c r="BY490" s="260"/>
      <c r="CJ490" s="260"/>
      <c r="CN490" s="170"/>
      <c r="CP490" s="260"/>
      <c r="CS490" s="260"/>
      <c r="CV490" s="260"/>
      <c r="CY490" s="260"/>
      <c r="DB490" s="260"/>
    </row>
    <row r="491" spans="1:106" s="144" customFormat="1" x14ac:dyDescent="0.25">
      <c r="A491" s="181"/>
      <c r="C491" s="133"/>
      <c r="L491" s="260"/>
      <c r="X491" s="260"/>
      <c r="Y491" s="170"/>
      <c r="AJ491" s="260"/>
      <c r="BD491" s="260"/>
      <c r="BY491" s="260"/>
      <c r="CJ491" s="260"/>
      <c r="CN491" s="170"/>
      <c r="CP491" s="260"/>
      <c r="CS491" s="260"/>
      <c r="CV491" s="260"/>
      <c r="CY491" s="260"/>
      <c r="DB491" s="260"/>
    </row>
    <row r="492" spans="1:106" s="144" customFormat="1" x14ac:dyDescent="0.25">
      <c r="A492" s="181"/>
      <c r="C492" s="133"/>
      <c r="L492" s="260"/>
      <c r="X492" s="260"/>
      <c r="Y492" s="170"/>
      <c r="AJ492" s="260"/>
      <c r="BD492" s="260"/>
      <c r="BY492" s="260"/>
      <c r="CJ492" s="260"/>
      <c r="CN492" s="170"/>
      <c r="CP492" s="260"/>
      <c r="CS492" s="260"/>
      <c r="CV492" s="260"/>
      <c r="CY492" s="260"/>
      <c r="DB492" s="260"/>
    </row>
    <row r="493" spans="1:106" s="144" customFormat="1" x14ac:dyDescent="0.25">
      <c r="A493" s="181"/>
      <c r="C493" s="133"/>
      <c r="L493" s="260"/>
      <c r="X493" s="260"/>
      <c r="Y493" s="170"/>
      <c r="AJ493" s="260"/>
      <c r="BD493" s="260"/>
      <c r="BY493" s="260"/>
      <c r="CJ493" s="260"/>
      <c r="CN493" s="170"/>
      <c r="CP493" s="260"/>
      <c r="CS493" s="260"/>
      <c r="CV493" s="260"/>
      <c r="CY493" s="260"/>
      <c r="DB493" s="260"/>
    </row>
    <row r="494" spans="1:106" s="144" customFormat="1" x14ac:dyDescent="0.25">
      <c r="A494" s="181"/>
      <c r="C494" s="133"/>
      <c r="L494" s="260"/>
      <c r="X494" s="260"/>
      <c r="Y494" s="170"/>
      <c r="AJ494" s="260"/>
      <c r="BD494" s="260"/>
      <c r="BY494" s="260"/>
      <c r="CJ494" s="260"/>
      <c r="CN494" s="170"/>
      <c r="CP494" s="260"/>
      <c r="CS494" s="260"/>
      <c r="CV494" s="260"/>
      <c r="CY494" s="260"/>
      <c r="DB494" s="260"/>
    </row>
    <row r="495" spans="1:106" s="144" customFormat="1" x14ac:dyDescent="0.25">
      <c r="A495" s="181"/>
      <c r="C495" s="133"/>
      <c r="L495" s="260"/>
      <c r="X495" s="260"/>
      <c r="Y495" s="170"/>
      <c r="AJ495" s="260"/>
      <c r="BD495" s="260"/>
      <c r="BY495" s="260"/>
      <c r="CJ495" s="260"/>
      <c r="CN495" s="170"/>
      <c r="CP495" s="260"/>
      <c r="CS495" s="260"/>
      <c r="CV495" s="260"/>
      <c r="CY495" s="260"/>
      <c r="DB495" s="260"/>
    </row>
    <row r="496" spans="1:106" s="144" customFormat="1" x14ac:dyDescent="0.25">
      <c r="A496" s="181"/>
      <c r="C496" s="133"/>
      <c r="L496" s="260"/>
      <c r="X496" s="260"/>
      <c r="Y496" s="170"/>
      <c r="AJ496" s="260"/>
      <c r="BD496" s="260"/>
      <c r="BY496" s="260"/>
      <c r="CJ496" s="260"/>
      <c r="CN496" s="170"/>
      <c r="CP496" s="260"/>
      <c r="CS496" s="260"/>
      <c r="CV496" s="260"/>
      <c r="CY496" s="260"/>
      <c r="DB496" s="260"/>
    </row>
    <row r="497" spans="1:106" s="144" customFormat="1" x14ac:dyDescent="0.25">
      <c r="A497" s="181"/>
      <c r="C497" s="133"/>
      <c r="L497" s="260"/>
      <c r="X497" s="260"/>
      <c r="Y497" s="170"/>
      <c r="AJ497" s="260"/>
      <c r="BD497" s="260"/>
      <c r="BY497" s="260"/>
      <c r="CJ497" s="260"/>
      <c r="CN497" s="170"/>
      <c r="CP497" s="260"/>
      <c r="CS497" s="260"/>
      <c r="CV497" s="260"/>
      <c r="CY497" s="260"/>
      <c r="DB497" s="260"/>
    </row>
    <row r="498" spans="1:106" s="144" customFormat="1" x14ac:dyDescent="0.25">
      <c r="A498" s="181"/>
      <c r="C498" s="133"/>
      <c r="L498" s="260"/>
      <c r="X498" s="260"/>
      <c r="Y498" s="170"/>
      <c r="AJ498" s="260"/>
      <c r="BD498" s="260"/>
      <c r="BY498" s="260"/>
      <c r="CJ498" s="260"/>
      <c r="CN498" s="170"/>
      <c r="CP498" s="260"/>
      <c r="CS498" s="260"/>
      <c r="CV498" s="260"/>
      <c r="CY498" s="260"/>
      <c r="DB498" s="260"/>
    </row>
    <row r="499" spans="1:106" s="144" customFormat="1" x14ac:dyDescent="0.25">
      <c r="A499" s="181"/>
      <c r="C499" s="133"/>
      <c r="L499" s="260"/>
      <c r="X499" s="260"/>
      <c r="Y499" s="170"/>
      <c r="AJ499" s="260"/>
      <c r="BD499" s="260"/>
      <c r="BY499" s="260"/>
      <c r="CJ499" s="260"/>
      <c r="CN499" s="170"/>
      <c r="CP499" s="260"/>
      <c r="CS499" s="260"/>
      <c r="CV499" s="260"/>
      <c r="CY499" s="260"/>
      <c r="DB499" s="260"/>
    </row>
    <row r="500" spans="1:106" s="144" customFormat="1" x14ac:dyDescent="0.25">
      <c r="A500" s="181"/>
      <c r="C500" s="133"/>
      <c r="L500" s="260"/>
      <c r="X500" s="260"/>
      <c r="Y500" s="170"/>
      <c r="AJ500" s="260"/>
      <c r="BD500" s="260"/>
      <c r="BY500" s="260"/>
      <c r="CJ500" s="260"/>
      <c r="CN500" s="170"/>
      <c r="CP500" s="260"/>
      <c r="CS500" s="260"/>
      <c r="CV500" s="260"/>
      <c r="CY500" s="260"/>
      <c r="DB500" s="260"/>
    </row>
    <row r="501" spans="1:106" s="144" customFormat="1" x14ac:dyDescent="0.25">
      <c r="A501" s="181"/>
      <c r="C501" s="133"/>
      <c r="L501" s="260"/>
      <c r="X501" s="260"/>
      <c r="Y501" s="170"/>
      <c r="AJ501" s="260"/>
      <c r="BD501" s="260"/>
      <c r="BY501" s="260"/>
      <c r="CJ501" s="260"/>
      <c r="CN501" s="170"/>
      <c r="CP501" s="260"/>
      <c r="CS501" s="260"/>
      <c r="CV501" s="260"/>
      <c r="CY501" s="260"/>
      <c r="DB501" s="260"/>
    </row>
    <row r="502" spans="1:106" s="144" customFormat="1" x14ac:dyDescent="0.25">
      <c r="A502" s="181"/>
      <c r="C502" s="133"/>
      <c r="L502" s="260"/>
      <c r="X502" s="260"/>
      <c r="Y502" s="170"/>
      <c r="AJ502" s="260"/>
      <c r="BD502" s="260"/>
      <c r="BY502" s="260"/>
      <c r="CJ502" s="260"/>
      <c r="CN502" s="170"/>
      <c r="CP502" s="260"/>
      <c r="CS502" s="260"/>
      <c r="CV502" s="260"/>
      <c r="CY502" s="260"/>
      <c r="DB502" s="260"/>
    </row>
    <row r="503" spans="1:106" s="144" customFormat="1" x14ac:dyDescent="0.25">
      <c r="A503" s="181"/>
      <c r="C503" s="133"/>
      <c r="L503" s="260"/>
      <c r="X503" s="260"/>
      <c r="Y503" s="170"/>
      <c r="AJ503" s="260"/>
      <c r="BD503" s="260"/>
      <c r="BY503" s="260"/>
      <c r="CJ503" s="260"/>
      <c r="CN503" s="170"/>
      <c r="CP503" s="260"/>
      <c r="CS503" s="260"/>
      <c r="CV503" s="260"/>
      <c r="CY503" s="260"/>
      <c r="DB503" s="260"/>
    </row>
    <row r="504" spans="1:106" s="144" customFormat="1" x14ac:dyDescent="0.25">
      <c r="A504" s="181"/>
      <c r="C504" s="133"/>
      <c r="L504" s="260"/>
      <c r="X504" s="260"/>
      <c r="Y504" s="170"/>
      <c r="AJ504" s="260"/>
      <c r="BD504" s="260"/>
      <c r="BY504" s="260"/>
      <c r="CJ504" s="260"/>
      <c r="CN504" s="170"/>
      <c r="CP504" s="260"/>
      <c r="CS504" s="260"/>
      <c r="CV504" s="260"/>
      <c r="CY504" s="260"/>
      <c r="DB504" s="260"/>
    </row>
    <row r="505" spans="1:106" s="144" customFormat="1" x14ac:dyDescent="0.25">
      <c r="A505" s="181"/>
      <c r="C505" s="133"/>
      <c r="L505" s="260"/>
      <c r="X505" s="260"/>
      <c r="Y505" s="170"/>
      <c r="AJ505" s="260"/>
      <c r="BD505" s="260"/>
      <c r="BY505" s="260"/>
      <c r="CJ505" s="260"/>
      <c r="CN505" s="170"/>
      <c r="CP505" s="260"/>
      <c r="CS505" s="260"/>
      <c r="CV505" s="260"/>
      <c r="CY505" s="260"/>
      <c r="DB505" s="260"/>
    </row>
    <row r="506" spans="1:106" s="144" customFormat="1" x14ac:dyDescent="0.25">
      <c r="A506" s="181"/>
      <c r="C506" s="133"/>
      <c r="L506" s="260"/>
      <c r="X506" s="260"/>
      <c r="Y506" s="170"/>
      <c r="AJ506" s="260"/>
      <c r="BD506" s="260"/>
      <c r="BY506" s="260"/>
      <c r="CJ506" s="260"/>
      <c r="CN506" s="170"/>
      <c r="CP506" s="260"/>
      <c r="CS506" s="260"/>
      <c r="CV506" s="260"/>
      <c r="CY506" s="260"/>
      <c r="DB506" s="260"/>
    </row>
    <row r="507" spans="1:106" s="144" customFormat="1" x14ac:dyDescent="0.25">
      <c r="A507" s="181"/>
      <c r="C507" s="133"/>
      <c r="L507" s="260"/>
      <c r="X507" s="260"/>
      <c r="Y507" s="170"/>
      <c r="AJ507" s="260"/>
      <c r="BD507" s="260"/>
      <c r="BY507" s="260"/>
      <c r="CJ507" s="260"/>
      <c r="CN507" s="170"/>
      <c r="CP507" s="260"/>
      <c r="CS507" s="260"/>
      <c r="CV507" s="260"/>
      <c r="CY507" s="260"/>
      <c r="DB507" s="260"/>
    </row>
    <row r="508" spans="1:106" s="144" customFormat="1" x14ac:dyDescent="0.25">
      <c r="A508" s="181"/>
      <c r="C508" s="133"/>
      <c r="L508" s="260"/>
      <c r="X508" s="260"/>
      <c r="Y508" s="170"/>
      <c r="AJ508" s="260"/>
      <c r="BD508" s="260"/>
      <c r="BY508" s="260"/>
      <c r="CJ508" s="260"/>
      <c r="CN508" s="170"/>
      <c r="CP508" s="260"/>
      <c r="CS508" s="260"/>
      <c r="CV508" s="260"/>
      <c r="CY508" s="260"/>
      <c r="DB508" s="260"/>
    </row>
    <row r="509" spans="1:106" s="144" customFormat="1" x14ac:dyDescent="0.25">
      <c r="A509" s="181"/>
      <c r="C509" s="133"/>
      <c r="L509" s="260"/>
      <c r="X509" s="260"/>
      <c r="Y509" s="170"/>
      <c r="AJ509" s="260"/>
      <c r="BD509" s="260"/>
      <c r="BY509" s="260"/>
      <c r="CJ509" s="260"/>
      <c r="CN509" s="170"/>
      <c r="CP509" s="260"/>
      <c r="CS509" s="260"/>
      <c r="CV509" s="260"/>
      <c r="CY509" s="260"/>
      <c r="DB509" s="260"/>
    </row>
    <row r="510" spans="1:106" s="144" customFormat="1" x14ac:dyDescent="0.25">
      <c r="A510" s="181"/>
      <c r="C510" s="133"/>
      <c r="L510" s="260"/>
      <c r="X510" s="260"/>
      <c r="Y510" s="170"/>
      <c r="AJ510" s="260"/>
      <c r="BD510" s="260"/>
      <c r="BY510" s="260"/>
      <c r="CJ510" s="260"/>
      <c r="CN510" s="170"/>
      <c r="CP510" s="260"/>
      <c r="CS510" s="260"/>
      <c r="CV510" s="260"/>
      <c r="CY510" s="260"/>
      <c r="DB510" s="260"/>
    </row>
    <row r="511" spans="1:106" s="144" customFormat="1" x14ac:dyDescent="0.25">
      <c r="A511" s="181"/>
      <c r="C511" s="133"/>
      <c r="L511" s="260"/>
      <c r="X511" s="260"/>
      <c r="Y511" s="170"/>
      <c r="AJ511" s="260"/>
      <c r="BD511" s="260"/>
      <c r="BY511" s="260"/>
      <c r="CJ511" s="260"/>
      <c r="CN511" s="170"/>
      <c r="CP511" s="260"/>
      <c r="CS511" s="260"/>
      <c r="CV511" s="260"/>
      <c r="CY511" s="260"/>
      <c r="DB511" s="260"/>
    </row>
    <row r="512" spans="1:106" s="144" customFormat="1" x14ac:dyDescent="0.25">
      <c r="A512" s="181"/>
      <c r="C512" s="133"/>
      <c r="L512" s="260"/>
      <c r="X512" s="260"/>
      <c r="Y512" s="170"/>
      <c r="AJ512" s="260"/>
      <c r="BD512" s="260"/>
      <c r="BY512" s="260"/>
      <c r="CJ512" s="260"/>
      <c r="CN512" s="170"/>
      <c r="CP512" s="260"/>
      <c r="CS512" s="260"/>
      <c r="CV512" s="260"/>
      <c r="CY512" s="260"/>
      <c r="DB512" s="260"/>
    </row>
    <row r="513" spans="1:106" s="144" customFormat="1" x14ac:dyDescent="0.25">
      <c r="A513" s="181"/>
      <c r="C513" s="133"/>
      <c r="L513" s="260"/>
      <c r="X513" s="260"/>
      <c r="Y513" s="170"/>
      <c r="AJ513" s="260"/>
      <c r="BD513" s="260"/>
      <c r="BY513" s="260"/>
      <c r="CJ513" s="260"/>
      <c r="CN513" s="170"/>
      <c r="CP513" s="260"/>
      <c r="CS513" s="260"/>
      <c r="CV513" s="260"/>
      <c r="CY513" s="260"/>
      <c r="DB513" s="260"/>
    </row>
    <row r="514" spans="1:106" s="144" customFormat="1" x14ac:dyDescent="0.25">
      <c r="A514" s="181"/>
      <c r="C514" s="133"/>
      <c r="L514" s="260"/>
      <c r="X514" s="260"/>
      <c r="Y514" s="170"/>
      <c r="AJ514" s="260"/>
      <c r="BD514" s="260"/>
      <c r="BY514" s="260"/>
      <c r="CJ514" s="260"/>
      <c r="CN514" s="170"/>
      <c r="CP514" s="260"/>
      <c r="CS514" s="260"/>
      <c r="CV514" s="260"/>
      <c r="CY514" s="260"/>
      <c r="DB514" s="260"/>
    </row>
    <row r="515" spans="1:106" s="144" customFormat="1" x14ac:dyDescent="0.25">
      <c r="A515" s="181"/>
      <c r="C515" s="133"/>
      <c r="L515" s="260"/>
      <c r="X515" s="260"/>
      <c r="Y515" s="170"/>
      <c r="AJ515" s="260"/>
      <c r="BD515" s="260"/>
      <c r="BY515" s="260"/>
      <c r="CJ515" s="260"/>
      <c r="CN515" s="170"/>
      <c r="CP515" s="260"/>
      <c r="CS515" s="260"/>
      <c r="CV515" s="260"/>
      <c r="CY515" s="260"/>
      <c r="DB515" s="260"/>
    </row>
    <row r="516" spans="1:106" s="144" customFormat="1" x14ac:dyDescent="0.25">
      <c r="A516" s="181"/>
      <c r="C516" s="133"/>
      <c r="L516" s="260"/>
      <c r="X516" s="260"/>
      <c r="Y516" s="170"/>
      <c r="AJ516" s="260"/>
      <c r="BD516" s="260"/>
      <c r="BY516" s="260"/>
      <c r="CJ516" s="260"/>
      <c r="CN516" s="170"/>
      <c r="CP516" s="260"/>
      <c r="CS516" s="260"/>
      <c r="CV516" s="260"/>
      <c r="CY516" s="260"/>
      <c r="DB516" s="260"/>
    </row>
    <row r="517" spans="1:106" s="144" customFormat="1" x14ac:dyDescent="0.25">
      <c r="A517" s="181"/>
      <c r="C517" s="133"/>
      <c r="L517" s="260"/>
      <c r="X517" s="260"/>
      <c r="Y517" s="170"/>
      <c r="AJ517" s="260"/>
      <c r="BD517" s="260"/>
      <c r="BY517" s="260"/>
      <c r="CJ517" s="260"/>
      <c r="CN517" s="170"/>
      <c r="CP517" s="260"/>
      <c r="CS517" s="260"/>
      <c r="CV517" s="260"/>
      <c r="CY517" s="260"/>
      <c r="DB517" s="260"/>
    </row>
    <row r="518" spans="1:106" s="144" customFormat="1" x14ac:dyDescent="0.25">
      <c r="A518" s="181"/>
      <c r="C518" s="133"/>
      <c r="L518" s="260"/>
      <c r="X518" s="260"/>
      <c r="Y518" s="170"/>
      <c r="AJ518" s="260"/>
      <c r="BD518" s="260"/>
      <c r="BY518" s="260"/>
      <c r="CJ518" s="260"/>
      <c r="CN518" s="170"/>
      <c r="CP518" s="260"/>
      <c r="CS518" s="260"/>
      <c r="CV518" s="260"/>
      <c r="CY518" s="260"/>
      <c r="DB518" s="260"/>
    </row>
    <row r="519" spans="1:106" s="144" customFormat="1" x14ac:dyDescent="0.25">
      <c r="A519" s="181"/>
      <c r="C519" s="133"/>
      <c r="L519" s="260"/>
      <c r="X519" s="260"/>
      <c r="Y519" s="170"/>
      <c r="AJ519" s="260"/>
      <c r="BD519" s="260"/>
      <c r="BY519" s="260"/>
      <c r="CJ519" s="260"/>
      <c r="CN519" s="170"/>
      <c r="CP519" s="260"/>
      <c r="CS519" s="260"/>
      <c r="CV519" s="260"/>
      <c r="CY519" s="260"/>
      <c r="DB519" s="260"/>
    </row>
    <row r="520" spans="1:106" s="144" customFormat="1" x14ac:dyDescent="0.25">
      <c r="A520" s="181"/>
      <c r="C520" s="133"/>
      <c r="L520" s="260"/>
      <c r="X520" s="260"/>
      <c r="Y520" s="170"/>
      <c r="AJ520" s="260"/>
      <c r="BD520" s="260"/>
      <c r="BY520" s="260"/>
      <c r="CJ520" s="260"/>
      <c r="CN520" s="170"/>
      <c r="CP520" s="260"/>
      <c r="CS520" s="260"/>
      <c r="CV520" s="260"/>
      <c r="CY520" s="260"/>
      <c r="DB520" s="260"/>
    </row>
    <row r="521" spans="1:106" s="144" customFormat="1" x14ac:dyDescent="0.25">
      <c r="A521" s="181"/>
      <c r="C521" s="133"/>
      <c r="L521" s="260"/>
      <c r="X521" s="260"/>
      <c r="Y521" s="170"/>
      <c r="AJ521" s="260"/>
      <c r="BD521" s="260"/>
      <c r="BY521" s="260"/>
      <c r="CJ521" s="260"/>
      <c r="CN521" s="170"/>
      <c r="CP521" s="260"/>
      <c r="CS521" s="260"/>
      <c r="CV521" s="260"/>
      <c r="CY521" s="260"/>
      <c r="DB521" s="260"/>
    </row>
    <row r="522" spans="1:106" s="144" customFormat="1" x14ac:dyDescent="0.25">
      <c r="A522" s="181"/>
      <c r="C522" s="133"/>
      <c r="L522" s="260"/>
      <c r="X522" s="260"/>
      <c r="Y522" s="170"/>
      <c r="AJ522" s="260"/>
      <c r="BD522" s="260"/>
      <c r="BY522" s="260"/>
      <c r="CJ522" s="260"/>
      <c r="CN522" s="170"/>
      <c r="CP522" s="260"/>
      <c r="CS522" s="260"/>
      <c r="CV522" s="260"/>
      <c r="CY522" s="260"/>
      <c r="DB522" s="260"/>
    </row>
    <row r="523" spans="1:106" s="144" customFormat="1" x14ac:dyDescent="0.25">
      <c r="A523" s="181"/>
      <c r="C523" s="133"/>
      <c r="L523" s="260"/>
      <c r="X523" s="260"/>
      <c r="Y523" s="170"/>
      <c r="AJ523" s="260"/>
      <c r="BD523" s="260"/>
      <c r="BY523" s="260"/>
      <c r="CJ523" s="260"/>
      <c r="CN523" s="170"/>
      <c r="CP523" s="260"/>
      <c r="CS523" s="260"/>
      <c r="CV523" s="260"/>
      <c r="CY523" s="260"/>
      <c r="DB523" s="260"/>
    </row>
    <row r="524" spans="1:106" s="144" customFormat="1" x14ac:dyDescent="0.25">
      <c r="A524" s="181"/>
      <c r="C524" s="133"/>
      <c r="L524" s="260"/>
      <c r="X524" s="260"/>
      <c r="Y524" s="170"/>
      <c r="AJ524" s="260"/>
      <c r="BD524" s="260"/>
      <c r="BY524" s="260"/>
      <c r="CJ524" s="260"/>
      <c r="CN524" s="170"/>
      <c r="CP524" s="260"/>
      <c r="CS524" s="260"/>
      <c r="CV524" s="260"/>
      <c r="CY524" s="260"/>
      <c r="DB524" s="260"/>
    </row>
    <row r="525" spans="1:106" s="144" customFormat="1" x14ac:dyDescent="0.25">
      <c r="A525" s="181"/>
      <c r="C525" s="133"/>
      <c r="L525" s="260"/>
      <c r="X525" s="260"/>
      <c r="Y525" s="170"/>
      <c r="AJ525" s="260"/>
      <c r="BD525" s="260"/>
      <c r="BY525" s="260"/>
      <c r="CJ525" s="260"/>
      <c r="CN525" s="170"/>
      <c r="CP525" s="260"/>
      <c r="CS525" s="260"/>
      <c r="CV525" s="260"/>
      <c r="CY525" s="260"/>
      <c r="DB525" s="260"/>
    </row>
    <row r="526" spans="1:106" s="144" customFormat="1" x14ac:dyDescent="0.25">
      <c r="A526" s="181"/>
      <c r="C526" s="133"/>
      <c r="L526" s="260"/>
      <c r="X526" s="260"/>
      <c r="Y526" s="170"/>
      <c r="AJ526" s="260"/>
      <c r="BD526" s="260"/>
      <c r="BY526" s="260"/>
      <c r="CJ526" s="260"/>
      <c r="CN526" s="170"/>
      <c r="CP526" s="260"/>
      <c r="CS526" s="260"/>
      <c r="CV526" s="260"/>
      <c r="CY526" s="260"/>
      <c r="DB526" s="260"/>
    </row>
    <row r="527" spans="1:106" s="144" customFormat="1" x14ac:dyDescent="0.25">
      <c r="A527" s="181"/>
      <c r="C527" s="133"/>
      <c r="L527" s="260"/>
      <c r="X527" s="260"/>
      <c r="Y527" s="170"/>
      <c r="AJ527" s="260"/>
      <c r="BD527" s="260"/>
      <c r="BY527" s="260"/>
      <c r="CJ527" s="260"/>
      <c r="CN527" s="170"/>
      <c r="CP527" s="260"/>
      <c r="CS527" s="260"/>
      <c r="CV527" s="260"/>
      <c r="CY527" s="260"/>
      <c r="DB527" s="260"/>
    </row>
    <row r="528" spans="1:106" s="144" customFormat="1" x14ac:dyDescent="0.25">
      <c r="A528" s="181"/>
      <c r="C528" s="133"/>
      <c r="L528" s="260"/>
      <c r="X528" s="260"/>
      <c r="Y528" s="170"/>
      <c r="AJ528" s="260"/>
      <c r="BD528" s="260"/>
      <c r="BY528" s="260"/>
      <c r="CJ528" s="260"/>
      <c r="CN528" s="170"/>
      <c r="CP528" s="260"/>
      <c r="CS528" s="260"/>
      <c r="CV528" s="260"/>
      <c r="CY528" s="260"/>
      <c r="DB528" s="260"/>
    </row>
    <row r="529" spans="1:106" s="144" customFormat="1" x14ac:dyDescent="0.25">
      <c r="A529" s="181"/>
      <c r="C529" s="133"/>
      <c r="L529" s="260"/>
      <c r="X529" s="260"/>
      <c r="Y529" s="170"/>
      <c r="AJ529" s="260"/>
      <c r="BD529" s="260"/>
      <c r="BY529" s="260"/>
      <c r="CJ529" s="260"/>
      <c r="CN529" s="170"/>
      <c r="CP529" s="260"/>
      <c r="CS529" s="260"/>
      <c r="CV529" s="260"/>
      <c r="CY529" s="260"/>
      <c r="DB529" s="260"/>
    </row>
    <row r="530" spans="1:106" s="144" customFormat="1" x14ac:dyDescent="0.25">
      <c r="A530" s="181"/>
      <c r="C530" s="133"/>
      <c r="L530" s="260"/>
      <c r="X530" s="260"/>
      <c r="Y530" s="170"/>
      <c r="AJ530" s="260"/>
      <c r="BD530" s="260"/>
      <c r="BY530" s="260"/>
      <c r="CJ530" s="260"/>
      <c r="CN530" s="170"/>
      <c r="CP530" s="260"/>
      <c r="CS530" s="260"/>
      <c r="CV530" s="260"/>
      <c r="CY530" s="260"/>
      <c r="DB530" s="260"/>
    </row>
    <row r="531" spans="1:106" s="144" customFormat="1" x14ac:dyDescent="0.25">
      <c r="A531" s="181"/>
      <c r="C531" s="133"/>
      <c r="L531" s="260"/>
      <c r="X531" s="260"/>
      <c r="Y531" s="170"/>
      <c r="AJ531" s="260"/>
      <c r="BD531" s="260"/>
      <c r="BY531" s="260"/>
      <c r="CJ531" s="260"/>
      <c r="CN531" s="170"/>
      <c r="CP531" s="260"/>
      <c r="CS531" s="260"/>
      <c r="CV531" s="260"/>
      <c r="CY531" s="260"/>
      <c r="DB531" s="260"/>
    </row>
    <row r="532" spans="1:106" s="144" customFormat="1" x14ac:dyDescent="0.25">
      <c r="A532" s="181"/>
      <c r="C532" s="133"/>
      <c r="L532" s="260"/>
      <c r="X532" s="260"/>
      <c r="Y532" s="170"/>
      <c r="AJ532" s="260"/>
      <c r="BD532" s="260"/>
      <c r="BY532" s="260"/>
      <c r="CJ532" s="260"/>
      <c r="CN532" s="170"/>
      <c r="CP532" s="260"/>
      <c r="CS532" s="260"/>
      <c r="CV532" s="260"/>
      <c r="CY532" s="260"/>
      <c r="DB532" s="260"/>
    </row>
    <row r="533" spans="1:106" s="144" customFormat="1" x14ac:dyDescent="0.25">
      <c r="A533" s="181"/>
      <c r="C533" s="133"/>
      <c r="L533" s="260"/>
      <c r="X533" s="260"/>
      <c r="Y533" s="170"/>
      <c r="AJ533" s="260"/>
      <c r="BD533" s="260"/>
      <c r="BY533" s="260"/>
      <c r="CJ533" s="260"/>
      <c r="CN533" s="170"/>
      <c r="CP533" s="260"/>
      <c r="CS533" s="260"/>
      <c r="CV533" s="260"/>
      <c r="CY533" s="260"/>
      <c r="DB533" s="260"/>
    </row>
    <row r="534" spans="1:106" s="144" customFormat="1" x14ac:dyDescent="0.25">
      <c r="A534" s="181"/>
      <c r="C534" s="133"/>
      <c r="L534" s="260"/>
      <c r="X534" s="260"/>
      <c r="Y534" s="170"/>
      <c r="AJ534" s="260"/>
      <c r="BD534" s="260"/>
      <c r="BY534" s="260"/>
      <c r="CJ534" s="260"/>
      <c r="CN534" s="170"/>
      <c r="CP534" s="260"/>
      <c r="CS534" s="260"/>
      <c r="CV534" s="260"/>
      <c r="CY534" s="260"/>
      <c r="DB534" s="260"/>
    </row>
    <row r="535" spans="1:106" s="144" customFormat="1" x14ac:dyDescent="0.25">
      <c r="A535" s="181"/>
      <c r="C535" s="133"/>
      <c r="L535" s="260"/>
      <c r="X535" s="260"/>
      <c r="Y535" s="170"/>
      <c r="AJ535" s="260"/>
      <c r="BD535" s="260"/>
      <c r="BY535" s="260"/>
      <c r="CJ535" s="260"/>
      <c r="CN535" s="170"/>
      <c r="CP535" s="260"/>
      <c r="CS535" s="260"/>
      <c r="CV535" s="260"/>
      <c r="CY535" s="260"/>
      <c r="DB535" s="260"/>
    </row>
    <row r="536" spans="1:106" s="144" customFormat="1" x14ac:dyDescent="0.25">
      <c r="A536" s="181"/>
      <c r="C536" s="133"/>
      <c r="L536" s="260"/>
      <c r="X536" s="260"/>
      <c r="Y536" s="170"/>
      <c r="AJ536" s="260"/>
      <c r="BD536" s="260"/>
      <c r="BY536" s="260"/>
      <c r="CJ536" s="260"/>
      <c r="CN536" s="170"/>
      <c r="CP536" s="260"/>
      <c r="CS536" s="260"/>
      <c r="CV536" s="260"/>
      <c r="CY536" s="260"/>
      <c r="DB536" s="260"/>
    </row>
    <row r="537" spans="1:106" s="144" customFormat="1" x14ac:dyDescent="0.25">
      <c r="A537" s="181"/>
      <c r="C537" s="133"/>
      <c r="L537" s="260"/>
      <c r="X537" s="260"/>
      <c r="Y537" s="170"/>
      <c r="AJ537" s="260"/>
      <c r="BD537" s="260"/>
      <c r="BY537" s="260"/>
      <c r="CJ537" s="260"/>
      <c r="CN537" s="170"/>
      <c r="CP537" s="260"/>
      <c r="CS537" s="260"/>
      <c r="CV537" s="260"/>
      <c r="CY537" s="260"/>
      <c r="DB537" s="260"/>
    </row>
    <row r="538" spans="1:106" s="144" customFormat="1" x14ac:dyDescent="0.25">
      <c r="A538" s="181"/>
      <c r="C538" s="133"/>
      <c r="L538" s="260"/>
      <c r="X538" s="260"/>
      <c r="Y538" s="170"/>
      <c r="AJ538" s="260"/>
      <c r="BD538" s="260"/>
      <c r="BY538" s="260"/>
      <c r="CJ538" s="260"/>
      <c r="CN538" s="170"/>
      <c r="CP538" s="260"/>
      <c r="CS538" s="260"/>
      <c r="CV538" s="260"/>
      <c r="CY538" s="260"/>
      <c r="DB538" s="260"/>
    </row>
    <row r="539" spans="1:106" s="144" customFormat="1" x14ac:dyDescent="0.25">
      <c r="A539" s="181"/>
      <c r="C539" s="133"/>
      <c r="L539" s="260"/>
      <c r="X539" s="260"/>
      <c r="Y539" s="170"/>
      <c r="AJ539" s="260"/>
      <c r="BD539" s="260"/>
      <c r="BY539" s="260"/>
      <c r="CJ539" s="260"/>
      <c r="CN539" s="170"/>
      <c r="CP539" s="260"/>
      <c r="CS539" s="260"/>
      <c r="CV539" s="260"/>
      <c r="CY539" s="260"/>
      <c r="DB539" s="260"/>
    </row>
    <row r="540" spans="1:106" s="144" customFormat="1" x14ac:dyDescent="0.25">
      <c r="A540" s="181"/>
      <c r="C540" s="133"/>
      <c r="L540" s="260"/>
      <c r="X540" s="260"/>
      <c r="Y540" s="170"/>
      <c r="AJ540" s="260"/>
      <c r="BD540" s="260"/>
      <c r="BY540" s="260"/>
      <c r="CJ540" s="260"/>
      <c r="CN540" s="170"/>
      <c r="CP540" s="260"/>
      <c r="CS540" s="260"/>
      <c r="CV540" s="260"/>
      <c r="CY540" s="260"/>
      <c r="DB540" s="260"/>
    </row>
    <row r="541" spans="1:106" s="144" customFormat="1" x14ac:dyDescent="0.25">
      <c r="A541" s="181"/>
      <c r="C541" s="133"/>
      <c r="L541" s="260"/>
      <c r="X541" s="260"/>
      <c r="Y541" s="170"/>
      <c r="AJ541" s="260"/>
      <c r="BD541" s="260"/>
      <c r="BY541" s="260"/>
      <c r="CJ541" s="260"/>
      <c r="CN541" s="170"/>
      <c r="CP541" s="260"/>
      <c r="CS541" s="260"/>
      <c r="CV541" s="260"/>
      <c r="CY541" s="260"/>
      <c r="DB541" s="260"/>
    </row>
    <row r="542" spans="1:106" s="144" customFormat="1" x14ac:dyDescent="0.25">
      <c r="A542" s="181"/>
      <c r="C542" s="133"/>
      <c r="L542" s="260"/>
      <c r="X542" s="260"/>
      <c r="Y542" s="170"/>
      <c r="AJ542" s="260"/>
      <c r="BD542" s="260"/>
      <c r="BY542" s="260"/>
      <c r="CJ542" s="260"/>
      <c r="CN542" s="170"/>
      <c r="CP542" s="260"/>
      <c r="CS542" s="260"/>
      <c r="CV542" s="260"/>
      <c r="CY542" s="260"/>
      <c r="DB542" s="260"/>
    </row>
    <row r="543" spans="1:106" s="144" customFormat="1" x14ac:dyDescent="0.25">
      <c r="A543" s="181"/>
      <c r="C543" s="133"/>
      <c r="L543" s="260"/>
      <c r="X543" s="260"/>
      <c r="Y543" s="170"/>
      <c r="AJ543" s="260"/>
      <c r="BD543" s="260"/>
      <c r="BY543" s="260"/>
      <c r="CJ543" s="260"/>
      <c r="CN543" s="170"/>
      <c r="CP543" s="260"/>
      <c r="CS543" s="260"/>
      <c r="CV543" s="260"/>
      <c r="CY543" s="260"/>
      <c r="DB543" s="260"/>
    </row>
    <row r="544" spans="1:106" s="144" customFormat="1" x14ac:dyDescent="0.25">
      <c r="A544" s="181"/>
      <c r="C544" s="133"/>
      <c r="L544" s="260"/>
      <c r="X544" s="260"/>
      <c r="Y544" s="170"/>
      <c r="AJ544" s="260"/>
      <c r="BD544" s="260"/>
      <c r="BY544" s="260"/>
      <c r="CJ544" s="260"/>
      <c r="CN544" s="170"/>
      <c r="CP544" s="260"/>
      <c r="CS544" s="260"/>
      <c r="CV544" s="260"/>
      <c r="CY544" s="260"/>
      <c r="DB544" s="260"/>
    </row>
    <row r="545" spans="1:106" s="144" customFormat="1" x14ac:dyDescent="0.25">
      <c r="A545" s="181"/>
      <c r="C545" s="133"/>
      <c r="L545" s="260"/>
      <c r="X545" s="260"/>
      <c r="Y545" s="170"/>
      <c r="AJ545" s="260"/>
      <c r="BD545" s="260"/>
      <c r="BY545" s="260"/>
      <c r="CJ545" s="260"/>
      <c r="CN545" s="170"/>
      <c r="CP545" s="260"/>
      <c r="CS545" s="260"/>
      <c r="CV545" s="260"/>
      <c r="CY545" s="260"/>
      <c r="DB545" s="260"/>
    </row>
    <row r="546" spans="1:106" s="144" customFormat="1" x14ac:dyDescent="0.25">
      <c r="A546" s="181"/>
      <c r="C546" s="133"/>
      <c r="L546" s="260"/>
      <c r="X546" s="260"/>
      <c r="Y546" s="170"/>
      <c r="AJ546" s="260"/>
      <c r="BD546" s="260"/>
      <c r="BY546" s="260"/>
      <c r="CJ546" s="260"/>
      <c r="CN546" s="170"/>
      <c r="CP546" s="260"/>
      <c r="CS546" s="260"/>
      <c r="CV546" s="260"/>
      <c r="CY546" s="260"/>
      <c r="DB546" s="260"/>
    </row>
    <row r="547" spans="1:106" s="144" customFormat="1" x14ac:dyDescent="0.25">
      <c r="A547" s="181"/>
      <c r="C547" s="133"/>
      <c r="L547" s="260"/>
      <c r="X547" s="260"/>
      <c r="Y547" s="170"/>
      <c r="AJ547" s="260"/>
      <c r="BD547" s="260"/>
      <c r="BY547" s="260"/>
      <c r="CJ547" s="260"/>
      <c r="CN547" s="170"/>
      <c r="CP547" s="260"/>
      <c r="CS547" s="260"/>
      <c r="CV547" s="260"/>
      <c r="CY547" s="260"/>
      <c r="DB547" s="260"/>
    </row>
    <row r="548" spans="1:106" s="144" customFormat="1" x14ac:dyDescent="0.25">
      <c r="A548" s="181"/>
      <c r="C548" s="133"/>
      <c r="L548" s="260"/>
      <c r="X548" s="260"/>
      <c r="Y548" s="170"/>
      <c r="AJ548" s="260"/>
      <c r="BD548" s="260"/>
      <c r="BY548" s="260"/>
      <c r="CJ548" s="260"/>
      <c r="CN548" s="170"/>
      <c r="CP548" s="260"/>
      <c r="CS548" s="260"/>
      <c r="CV548" s="260"/>
      <c r="CY548" s="260"/>
      <c r="DB548" s="260"/>
    </row>
    <row r="549" spans="1:106" s="144" customFormat="1" x14ac:dyDescent="0.25">
      <c r="A549" s="181"/>
      <c r="C549" s="133"/>
      <c r="L549" s="260"/>
      <c r="X549" s="260"/>
      <c r="Y549" s="170"/>
      <c r="AJ549" s="260"/>
      <c r="BD549" s="260"/>
      <c r="BY549" s="260"/>
      <c r="CJ549" s="260"/>
      <c r="CN549" s="170"/>
      <c r="CP549" s="260"/>
      <c r="CS549" s="260"/>
      <c r="CV549" s="260"/>
      <c r="CY549" s="260"/>
      <c r="DB549" s="260"/>
    </row>
    <row r="550" spans="1:106" s="144" customFormat="1" x14ac:dyDescent="0.25">
      <c r="A550" s="181"/>
      <c r="C550" s="133"/>
      <c r="L550" s="260"/>
      <c r="X550" s="260"/>
      <c r="Y550" s="170"/>
      <c r="AJ550" s="260"/>
      <c r="BD550" s="260"/>
      <c r="BY550" s="260"/>
      <c r="CJ550" s="260"/>
      <c r="CN550" s="170"/>
      <c r="CP550" s="260"/>
      <c r="CS550" s="260"/>
      <c r="CV550" s="260"/>
      <c r="CY550" s="260"/>
      <c r="DB550" s="260"/>
    </row>
    <row r="551" spans="1:106" s="144" customFormat="1" x14ac:dyDescent="0.25">
      <c r="A551" s="181"/>
      <c r="C551" s="133"/>
      <c r="L551" s="260"/>
      <c r="X551" s="260"/>
      <c r="Y551" s="170"/>
      <c r="AJ551" s="260"/>
      <c r="BD551" s="260"/>
      <c r="BY551" s="260"/>
      <c r="CJ551" s="260"/>
      <c r="CN551" s="170"/>
      <c r="CP551" s="260"/>
      <c r="CS551" s="260"/>
      <c r="CV551" s="260"/>
      <c r="CY551" s="260"/>
      <c r="DB551" s="260"/>
    </row>
    <row r="552" spans="1:106" s="144" customFormat="1" x14ac:dyDescent="0.25">
      <c r="A552" s="181"/>
      <c r="C552" s="133"/>
      <c r="L552" s="260"/>
      <c r="X552" s="260"/>
      <c r="Y552" s="170"/>
      <c r="AJ552" s="260"/>
      <c r="BD552" s="260"/>
      <c r="BY552" s="260"/>
      <c r="CJ552" s="260"/>
      <c r="CN552" s="170"/>
      <c r="CP552" s="260"/>
      <c r="CS552" s="260"/>
      <c r="CV552" s="260"/>
      <c r="CY552" s="260"/>
      <c r="DB552" s="260"/>
    </row>
    <row r="553" spans="1:106" s="144" customFormat="1" x14ac:dyDescent="0.25">
      <c r="A553" s="181"/>
      <c r="C553" s="133"/>
      <c r="L553" s="260"/>
      <c r="X553" s="260"/>
      <c r="Y553" s="170"/>
      <c r="AJ553" s="260"/>
      <c r="BD553" s="260"/>
      <c r="BY553" s="260"/>
      <c r="CJ553" s="260"/>
      <c r="CN553" s="170"/>
      <c r="CP553" s="260"/>
      <c r="CS553" s="260"/>
      <c r="CV553" s="260"/>
      <c r="CY553" s="260"/>
      <c r="DB553" s="260"/>
    </row>
    <row r="554" spans="1:106" s="144" customFormat="1" x14ac:dyDescent="0.25">
      <c r="A554" s="181"/>
      <c r="C554" s="133"/>
      <c r="L554" s="260"/>
      <c r="X554" s="260"/>
      <c r="Y554" s="170"/>
      <c r="AJ554" s="260"/>
      <c r="BD554" s="260"/>
      <c r="BY554" s="260"/>
      <c r="CJ554" s="260"/>
      <c r="CN554" s="170"/>
      <c r="CP554" s="260"/>
      <c r="CS554" s="260"/>
      <c r="CV554" s="260"/>
      <c r="CY554" s="260"/>
      <c r="DB554" s="260"/>
    </row>
    <row r="555" spans="1:106" s="144" customFormat="1" x14ac:dyDescent="0.25">
      <c r="A555" s="181"/>
      <c r="C555" s="133"/>
      <c r="L555" s="260"/>
      <c r="X555" s="260"/>
      <c r="Y555" s="170"/>
      <c r="AJ555" s="260"/>
      <c r="BD555" s="260"/>
      <c r="BY555" s="260"/>
      <c r="CJ555" s="260"/>
      <c r="CN555" s="170"/>
      <c r="CP555" s="260"/>
      <c r="CS555" s="260"/>
      <c r="CV555" s="260"/>
      <c r="CY555" s="260"/>
      <c r="DB555" s="260"/>
    </row>
    <row r="556" spans="1:106" s="144" customFormat="1" x14ac:dyDescent="0.25">
      <c r="A556" s="181"/>
      <c r="C556" s="133"/>
      <c r="L556" s="260"/>
      <c r="X556" s="260"/>
      <c r="Y556" s="170"/>
      <c r="AJ556" s="260"/>
      <c r="BD556" s="260"/>
      <c r="BY556" s="260"/>
      <c r="CJ556" s="260"/>
      <c r="CN556" s="170"/>
      <c r="CP556" s="260"/>
      <c r="CS556" s="260"/>
      <c r="CV556" s="260"/>
      <c r="CY556" s="260"/>
      <c r="DB556" s="260"/>
    </row>
    <row r="557" spans="1:106" s="144" customFormat="1" x14ac:dyDescent="0.25">
      <c r="A557" s="181"/>
      <c r="C557" s="133"/>
      <c r="L557" s="260"/>
      <c r="X557" s="260"/>
      <c r="Y557" s="170"/>
      <c r="AJ557" s="260"/>
      <c r="BD557" s="260"/>
      <c r="BY557" s="260"/>
      <c r="CJ557" s="260"/>
      <c r="CN557" s="170"/>
      <c r="CP557" s="260"/>
      <c r="CS557" s="260"/>
      <c r="CV557" s="260"/>
      <c r="CY557" s="260"/>
      <c r="DB557" s="260"/>
    </row>
    <row r="558" spans="1:106" s="144" customFormat="1" x14ac:dyDescent="0.25">
      <c r="A558" s="181"/>
      <c r="C558" s="133"/>
      <c r="L558" s="260"/>
      <c r="X558" s="260"/>
      <c r="Y558" s="170"/>
      <c r="AJ558" s="260"/>
      <c r="BD558" s="260"/>
      <c r="BY558" s="260"/>
      <c r="CJ558" s="260"/>
      <c r="CN558" s="170"/>
      <c r="CP558" s="260"/>
      <c r="CS558" s="260"/>
      <c r="CV558" s="260"/>
      <c r="CY558" s="260"/>
      <c r="DB558" s="260"/>
    </row>
    <row r="559" spans="1:106" s="144" customFormat="1" x14ac:dyDescent="0.25">
      <c r="A559" s="181"/>
      <c r="C559" s="133"/>
      <c r="L559" s="260"/>
      <c r="X559" s="260"/>
      <c r="Y559" s="170"/>
      <c r="AJ559" s="260"/>
      <c r="BD559" s="260"/>
      <c r="BY559" s="260"/>
      <c r="CJ559" s="260"/>
      <c r="CN559" s="170"/>
      <c r="CP559" s="260"/>
      <c r="CS559" s="260"/>
      <c r="CV559" s="260"/>
      <c r="CY559" s="260"/>
      <c r="DB559" s="260"/>
    </row>
    <row r="560" spans="1:106" s="144" customFormat="1" x14ac:dyDescent="0.25">
      <c r="A560" s="181"/>
      <c r="C560" s="133"/>
      <c r="L560" s="260"/>
      <c r="X560" s="260"/>
      <c r="Y560" s="170"/>
      <c r="AJ560" s="260"/>
      <c r="BD560" s="260"/>
      <c r="BY560" s="260"/>
      <c r="CJ560" s="260"/>
      <c r="CN560" s="170"/>
      <c r="CP560" s="260"/>
      <c r="CS560" s="260"/>
      <c r="CV560" s="260"/>
      <c r="CY560" s="260"/>
      <c r="DB560" s="260"/>
    </row>
    <row r="561" spans="1:106" s="144" customFormat="1" x14ac:dyDescent="0.25">
      <c r="A561" s="181"/>
      <c r="C561" s="133"/>
      <c r="L561" s="260"/>
      <c r="X561" s="260"/>
      <c r="Y561" s="170"/>
      <c r="AJ561" s="260"/>
      <c r="BD561" s="260"/>
      <c r="BY561" s="260"/>
      <c r="CJ561" s="260"/>
      <c r="CN561" s="170"/>
      <c r="CP561" s="260"/>
      <c r="CS561" s="260"/>
      <c r="CV561" s="260"/>
      <c r="CY561" s="260"/>
      <c r="DB561" s="260"/>
    </row>
    <row r="562" spans="1:106" s="144" customFormat="1" x14ac:dyDescent="0.25">
      <c r="A562" s="181"/>
      <c r="C562" s="133"/>
      <c r="L562" s="260"/>
      <c r="X562" s="260"/>
      <c r="Y562" s="170"/>
      <c r="AJ562" s="260"/>
      <c r="BD562" s="260"/>
      <c r="BY562" s="260"/>
      <c r="CJ562" s="260"/>
      <c r="CN562" s="170"/>
      <c r="CP562" s="260"/>
      <c r="CS562" s="260"/>
      <c r="CV562" s="260"/>
      <c r="CY562" s="260"/>
      <c r="DB562" s="260"/>
    </row>
    <row r="563" spans="1:106" s="144" customFormat="1" x14ac:dyDescent="0.25">
      <c r="A563" s="181"/>
      <c r="C563" s="133"/>
      <c r="L563" s="260"/>
      <c r="X563" s="260"/>
      <c r="Y563" s="170"/>
      <c r="AJ563" s="260"/>
      <c r="BD563" s="260"/>
      <c r="BY563" s="260"/>
      <c r="CJ563" s="260"/>
      <c r="CN563" s="170"/>
      <c r="CP563" s="260"/>
      <c r="CS563" s="260"/>
      <c r="CV563" s="260"/>
      <c r="CY563" s="260"/>
      <c r="DB563" s="260"/>
    </row>
    <row r="564" spans="1:106" s="144" customFormat="1" x14ac:dyDescent="0.25">
      <c r="A564" s="181"/>
      <c r="C564" s="133"/>
      <c r="L564" s="260"/>
      <c r="X564" s="260"/>
      <c r="Y564" s="170"/>
      <c r="AJ564" s="260"/>
      <c r="BD564" s="260"/>
      <c r="BY564" s="260"/>
      <c r="CJ564" s="260"/>
      <c r="CN564" s="170"/>
      <c r="CP564" s="260"/>
      <c r="CS564" s="260"/>
      <c r="CV564" s="260"/>
      <c r="CY564" s="260"/>
      <c r="DB564" s="260"/>
    </row>
    <row r="565" spans="1:106" s="144" customFormat="1" x14ac:dyDescent="0.25">
      <c r="A565" s="181"/>
      <c r="C565" s="133"/>
      <c r="L565" s="260"/>
      <c r="X565" s="260"/>
      <c r="Y565" s="170"/>
      <c r="AJ565" s="260"/>
      <c r="BD565" s="260"/>
      <c r="BY565" s="260"/>
      <c r="CJ565" s="260"/>
      <c r="CN565" s="170"/>
      <c r="CP565" s="260"/>
      <c r="CS565" s="260"/>
      <c r="CV565" s="260"/>
      <c r="CY565" s="260"/>
      <c r="DB565" s="260"/>
    </row>
    <row r="566" spans="1:106" s="144" customFormat="1" x14ac:dyDescent="0.25">
      <c r="A566" s="181"/>
      <c r="C566" s="133"/>
      <c r="L566" s="260"/>
      <c r="X566" s="260"/>
      <c r="Y566" s="170"/>
      <c r="AJ566" s="260"/>
      <c r="BD566" s="260"/>
      <c r="BY566" s="260"/>
      <c r="CJ566" s="260"/>
      <c r="CN566" s="170"/>
      <c r="CP566" s="260"/>
      <c r="CS566" s="260"/>
      <c r="CV566" s="260"/>
      <c r="CY566" s="260"/>
      <c r="DB566" s="260"/>
    </row>
    <row r="567" spans="1:106" s="144" customFormat="1" x14ac:dyDescent="0.25">
      <c r="A567" s="181"/>
      <c r="C567" s="133"/>
      <c r="L567" s="260"/>
      <c r="X567" s="260"/>
      <c r="Y567" s="170"/>
      <c r="AJ567" s="260"/>
      <c r="BD567" s="260"/>
      <c r="BY567" s="260"/>
      <c r="CJ567" s="260"/>
      <c r="CN567" s="170"/>
      <c r="CP567" s="260"/>
      <c r="CS567" s="260"/>
      <c r="CV567" s="260"/>
      <c r="CY567" s="260"/>
      <c r="DB567" s="260"/>
    </row>
    <row r="568" spans="1:106" s="144" customFormat="1" x14ac:dyDescent="0.25">
      <c r="A568" s="181"/>
      <c r="C568" s="133"/>
      <c r="L568" s="260"/>
      <c r="X568" s="260"/>
      <c r="Y568" s="170"/>
      <c r="AJ568" s="260"/>
      <c r="BD568" s="260"/>
      <c r="BY568" s="260"/>
      <c r="CJ568" s="260"/>
      <c r="CN568" s="170"/>
      <c r="CP568" s="260"/>
      <c r="CS568" s="260"/>
      <c r="CV568" s="260"/>
      <c r="CY568" s="260"/>
      <c r="DB568" s="260"/>
    </row>
    <row r="569" spans="1:106" s="144" customFormat="1" x14ac:dyDescent="0.25">
      <c r="A569" s="181"/>
      <c r="C569" s="133"/>
      <c r="L569" s="260"/>
      <c r="X569" s="260"/>
      <c r="Y569" s="170"/>
      <c r="AJ569" s="260"/>
      <c r="BD569" s="260"/>
      <c r="BY569" s="260"/>
      <c r="CJ569" s="260"/>
      <c r="CN569" s="170"/>
      <c r="CP569" s="260"/>
      <c r="CS569" s="260"/>
      <c r="CV569" s="260"/>
      <c r="CY569" s="260"/>
      <c r="DB569" s="260"/>
    </row>
    <row r="570" spans="1:106" s="144" customFormat="1" x14ac:dyDescent="0.25">
      <c r="A570" s="181"/>
      <c r="C570" s="133"/>
      <c r="L570" s="260"/>
      <c r="X570" s="260"/>
      <c r="Y570" s="170"/>
      <c r="AJ570" s="260"/>
      <c r="BD570" s="260"/>
      <c r="BY570" s="260"/>
      <c r="CJ570" s="260"/>
      <c r="CN570" s="170"/>
      <c r="CP570" s="260"/>
      <c r="CS570" s="260"/>
      <c r="CV570" s="260"/>
      <c r="CY570" s="260"/>
      <c r="DB570" s="260"/>
    </row>
    <row r="571" spans="1:106" s="144" customFormat="1" x14ac:dyDescent="0.25">
      <c r="A571" s="181"/>
      <c r="C571" s="133"/>
      <c r="L571" s="260"/>
      <c r="X571" s="260"/>
      <c r="Y571" s="170"/>
      <c r="AJ571" s="260"/>
      <c r="BD571" s="260"/>
      <c r="BY571" s="260"/>
      <c r="CJ571" s="260"/>
      <c r="CN571" s="170"/>
      <c r="CP571" s="260"/>
      <c r="CS571" s="260"/>
      <c r="CV571" s="260"/>
      <c r="CY571" s="260"/>
      <c r="DB571" s="260"/>
    </row>
    <row r="572" spans="1:106" s="144" customFormat="1" x14ac:dyDescent="0.25">
      <c r="A572" s="181"/>
      <c r="C572" s="133"/>
      <c r="L572" s="260"/>
      <c r="X572" s="260"/>
      <c r="Y572" s="170"/>
      <c r="AJ572" s="260"/>
      <c r="BD572" s="260"/>
      <c r="BY572" s="260"/>
      <c r="CJ572" s="260"/>
      <c r="CN572" s="170"/>
      <c r="CP572" s="260"/>
      <c r="CS572" s="260"/>
      <c r="CV572" s="260"/>
      <c r="CY572" s="260"/>
      <c r="DB572" s="260"/>
    </row>
    <row r="573" spans="1:106" s="144" customFormat="1" x14ac:dyDescent="0.25">
      <c r="A573" s="181"/>
      <c r="C573" s="133"/>
      <c r="L573" s="260"/>
      <c r="X573" s="260"/>
      <c r="Y573" s="170"/>
      <c r="AJ573" s="260"/>
      <c r="BD573" s="260"/>
      <c r="BY573" s="260"/>
      <c r="CJ573" s="260"/>
      <c r="CN573" s="170"/>
      <c r="CP573" s="260"/>
      <c r="CS573" s="260"/>
      <c r="CV573" s="260"/>
      <c r="CY573" s="260"/>
      <c r="DB573" s="260"/>
    </row>
    <row r="574" spans="1:106" s="144" customFormat="1" x14ac:dyDescent="0.25">
      <c r="A574" s="181"/>
      <c r="C574" s="133"/>
      <c r="L574" s="260"/>
      <c r="X574" s="260"/>
      <c r="Y574" s="170"/>
      <c r="AJ574" s="260"/>
      <c r="BD574" s="260"/>
      <c r="BY574" s="260"/>
      <c r="CJ574" s="260"/>
      <c r="CN574" s="170"/>
      <c r="CP574" s="260"/>
      <c r="CS574" s="260"/>
      <c r="CV574" s="260"/>
      <c r="CY574" s="260"/>
      <c r="DB574" s="260"/>
    </row>
    <row r="575" spans="1:106" s="144" customFormat="1" x14ac:dyDescent="0.25">
      <c r="A575" s="181"/>
      <c r="C575" s="133"/>
      <c r="L575" s="260"/>
      <c r="X575" s="260"/>
      <c r="Y575" s="170"/>
      <c r="AJ575" s="260"/>
      <c r="BD575" s="260"/>
      <c r="BY575" s="260"/>
      <c r="CJ575" s="260"/>
      <c r="CN575" s="170"/>
      <c r="CP575" s="260"/>
      <c r="CS575" s="260"/>
      <c r="CV575" s="260"/>
      <c r="CY575" s="260"/>
      <c r="DB575" s="260"/>
    </row>
    <row r="576" spans="1:106" s="144" customFormat="1" x14ac:dyDescent="0.25">
      <c r="A576" s="181"/>
      <c r="C576" s="133"/>
      <c r="L576" s="260"/>
      <c r="X576" s="260"/>
      <c r="Y576" s="170"/>
      <c r="AJ576" s="260"/>
      <c r="BD576" s="260"/>
      <c r="BY576" s="260"/>
      <c r="CJ576" s="260"/>
      <c r="CN576" s="170"/>
      <c r="CP576" s="260"/>
      <c r="CS576" s="260"/>
      <c r="CV576" s="260"/>
      <c r="CY576" s="260"/>
      <c r="DB576" s="260"/>
    </row>
    <row r="577" spans="1:106" s="144" customFormat="1" x14ac:dyDescent="0.25">
      <c r="A577" s="181"/>
      <c r="C577" s="133"/>
      <c r="L577" s="260"/>
      <c r="X577" s="260"/>
      <c r="Y577" s="170"/>
      <c r="AJ577" s="260"/>
      <c r="BD577" s="260"/>
      <c r="BY577" s="260"/>
      <c r="CJ577" s="260"/>
      <c r="CN577" s="170"/>
      <c r="CP577" s="260"/>
      <c r="CS577" s="260"/>
      <c r="CV577" s="260"/>
      <c r="CY577" s="260"/>
      <c r="DB577" s="260"/>
    </row>
    <row r="578" spans="1:106" s="144" customFormat="1" x14ac:dyDescent="0.25">
      <c r="A578" s="181"/>
      <c r="C578" s="133"/>
      <c r="L578" s="260"/>
      <c r="X578" s="260"/>
      <c r="Y578" s="170"/>
      <c r="AJ578" s="260"/>
      <c r="BD578" s="260"/>
      <c r="BY578" s="260"/>
      <c r="CJ578" s="260"/>
      <c r="CN578" s="170"/>
      <c r="CP578" s="260"/>
      <c r="CS578" s="260"/>
      <c r="CV578" s="260"/>
      <c r="CY578" s="260"/>
      <c r="DB578" s="260"/>
    </row>
    <row r="579" spans="1:106" s="144" customFormat="1" x14ac:dyDescent="0.25">
      <c r="A579" s="181"/>
      <c r="C579" s="133"/>
      <c r="L579" s="260"/>
      <c r="X579" s="260"/>
      <c r="Y579" s="170"/>
      <c r="AJ579" s="260"/>
      <c r="BD579" s="260"/>
      <c r="BY579" s="260"/>
      <c r="CJ579" s="260"/>
      <c r="CN579" s="170"/>
      <c r="CP579" s="260"/>
      <c r="CS579" s="260"/>
      <c r="CV579" s="260"/>
      <c r="CY579" s="260"/>
      <c r="DB579" s="260"/>
    </row>
    <row r="580" spans="1:106" s="144" customFormat="1" x14ac:dyDescent="0.25">
      <c r="A580" s="181"/>
      <c r="C580" s="133"/>
      <c r="L580" s="260"/>
      <c r="X580" s="260"/>
      <c r="Y580" s="170"/>
      <c r="AJ580" s="260"/>
      <c r="BD580" s="260"/>
      <c r="BY580" s="260"/>
      <c r="CJ580" s="260"/>
      <c r="CN580" s="170"/>
      <c r="CP580" s="260"/>
      <c r="CS580" s="260"/>
      <c r="CV580" s="260"/>
      <c r="CY580" s="260"/>
      <c r="DB580" s="260"/>
    </row>
    <row r="581" spans="1:106" s="144" customFormat="1" x14ac:dyDescent="0.25">
      <c r="A581" s="181"/>
      <c r="C581" s="133"/>
      <c r="L581" s="260"/>
      <c r="X581" s="260"/>
      <c r="Y581" s="170"/>
      <c r="AJ581" s="260"/>
      <c r="BD581" s="260"/>
      <c r="BY581" s="260"/>
      <c r="CJ581" s="260"/>
      <c r="CN581" s="170"/>
      <c r="CP581" s="260"/>
      <c r="CS581" s="260"/>
      <c r="CV581" s="260"/>
      <c r="CY581" s="260"/>
      <c r="DB581" s="260"/>
    </row>
    <row r="582" spans="1:106" s="144" customFormat="1" x14ac:dyDescent="0.25">
      <c r="A582" s="181"/>
      <c r="C582" s="133"/>
      <c r="L582" s="260"/>
      <c r="X582" s="260"/>
      <c r="Y582" s="170"/>
      <c r="AJ582" s="260"/>
      <c r="BD582" s="260"/>
      <c r="BY582" s="260"/>
      <c r="CJ582" s="260"/>
      <c r="CN582" s="170"/>
      <c r="CP582" s="260"/>
      <c r="CS582" s="260"/>
      <c r="CV582" s="260"/>
      <c r="CY582" s="260"/>
      <c r="DB582" s="260"/>
    </row>
    <row r="583" spans="1:106" s="144" customFormat="1" x14ac:dyDescent="0.25">
      <c r="A583" s="181"/>
      <c r="C583" s="133"/>
      <c r="L583" s="260"/>
      <c r="X583" s="260"/>
      <c r="Y583" s="170"/>
      <c r="AJ583" s="260"/>
      <c r="BD583" s="260"/>
      <c r="BY583" s="260"/>
      <c r="CJ583" s="260"/>
      <c r="CN583" s="170"/>
      <c r="CP583" s="260"/>
      <c r="CS583" s="260"/>
      <c r="CV583" s="260"/>
      <c r="CY583" s="260"/>
      <c r="DB583" s="260"/>
    </row>
    <row r="584" spans="1:106" s="144" customFormat="1" x14ac:dyDescent="0.25">
      <c r="A584" s="181"/>
      <c r="C584" s="133"/>
      <c r="L584" s="260"/>
      <c r="X584" s="260"/>
      <c r="Y584" s="170"/>
      <c r="AJ584" s="260"/>
      <c r="BD584" s="260"/>
      <c r="BY584" s="260"/>
      <c r="CJ584" s="260"/>
      <c r="CN584" s="170"/>
      <c r="CP584" s="260"/>
      <c r="CS584" s="260"/>
      <c r="CV584" s="260"/>
      <c r="CY584" s="260"/>
      <c r="DB584" s="260"/>
    </row>
    <row r="585" spans="1:106" s="144" customFormat="1" x14ac:dyDescent="0.25">
      <c r="A585" s="181"/>
      <c r="C585" s="133"/>
      <c r="L585" s="260"/>
      <c r="X585" s="260"/>
      <c r="Y585" s="170"/>
      <c r="AJ585" s="260"/>
      <c r="BD585" s="260"/>
      <c r="BY585" s="260"/>
      <c r="CJ585" s="260"/>
      <c r="CN585" s="170"/>
      <c r="CP585" s="260"/>
      <c r="CS585" s="260"/>
      <c r="CV585" s="260"/>
      <c r="CY585" s="260"/>
      <c r="DB585" s="260"/>
    </row>
    <row r="586" spans="1:106" s="144" customFormat="1" x14ac:dyDescent="0.25">
      <c r="A586" s="181"/>
      <c r="C586" s="133"/>
      <c r="L586" s="260"/>
      <c r="X586" s="260"/>
      <c r="Y586" s="170"/>
      <c r="AJ586" s="260"/>
      <c r="BD586" s="260"/>
      <c r="BY586" s="260"/>
      <c r="CJ586" s="260"/>
      <c r="CN586" s="170"/>
      <c r="CP586" s="260"/>
      <c r="CS586" s="260"/>
      <c r="CV586" s="260"/>
      <c r="CY586" s="260"/>
      <c r="DB586" s="260"/>
    </row>
    <row r="587" spans="1:106" s="144" customFormat="1" x14ac:dyDescent="0.25">
      <c r="A587" s="181"/>
      <c r="C587" s="133"/>
      <c r="L587" s="260"/>
      <c r="X587" s="260"/>
      <c r="Y587" s="170"/>
      <c r="AJ587" s="260"/>
      <c r="BD587" s="260"/>
      <c r="BY587" s="260"/>
      <c r="CJ587" s="260"/>
      <c r="CN587" s="170"/>
      <c r="CP587" s="260"/>
      <c r="CS587" s="260"/>
      <c r="CV587" s="260"/>
      <c r="CY587" s="260"/>
      <c r="DB587" s="260"/>
    </row>
    <row r="588" spans="1:106" s="144" customFormat="1" x14ac:dyDescent="0.25">
      <c r="A588" s="181"/>
      <c r="C588" s="133"/>
      <c r="L588" s="260"/>
      <c r="X588" s="260"/>
      <c r="Y588" s="170"/>
      <c r="AJ588" s="260"/>
      <c r="BD588" s="260"/>
      <c r="BY588" s="260"/>
      <c r="CJ588" s="260"/>
      <c r="CN588" s="170"/>
      <c r="CP588" s="260"/>
      <c r="CS588" s="260"/>
      <c r="CV588" s="260"/>
      <c r="CY588" s="260"/>
      <c r="DB588" s="260"/>
    </row>
    <row r="589" spans="1:106" s="144" customFormat="1" x14ac:dyDescent="0.25">
      <c r="A589" s="181"/>
      <c r="C589" s="133"/>
      <c r="L589" s="260"/>
      <c r="X589" s="260"/>
      <c r="Y589" s="170"/>
      <c r="AJ589" s="260"/>
      <c r="BD589" s="260"/>
      <c r="BY589" s="260"/>
      <c r="CJ589" s="260"/>
      <c r="CN589" s="170"/>
      <c r="CP589" s="260"/>
      <c r="CS589" s="260"/>
      <c r="CV589" s="260"/>
      <c r="CY589" s="260"/>
      <c r="DB589" s="260"/>
    </row>
    <row r="590" spans="1:106" s="144" customFormat="1" x14ac:dyDescent="0.25">
      <c r="A590" s="181"/>
      <c r="C590" s="133"/>
      <c r="L590" s="260"/>
      <c r="X590" s="260"/>
      <c r="Y590" s="170"/>
      <c r="AJ590" s="260"/>
      <c r="BD590" s="260"/>
      <c r="BY590" s="260"/>
      <c r="CJ590" s="260"/>
      <c r="CN590" s="170"/>
      <c r="CP590" s="260"/>
      <c r="CS590" s="260"/>
      <c r="CV590" s="260"/>
      <c r="CY590" s="260"/>
      <c r="DB590" s="260"/>
    </row>
    <row r="591" spans="1:106" s="144" customFormat="1" x14ac:dyDescent="0.25">
      <c r="A591" s="181"/>
      <c r="C591" s="133"/>
      <c r="L591" s="260"/>
      <c r="X591" s="260"/>
      <c r="Y591" s="170"/>
      <c r="AJ591" s="260"/>
      <c r="BD591" s="260"/>
      <c r="BY591" s="260"/>
      <c r="CJ591" s="260"/>
      <c r="CN591" s="170"/>
      <c r="CP591" s="260"/>
      <c r="CS591" s="260"/>
      <c r="CV591" s="260"/>
      <c r="CY591" s="260"/>
      <c r="DB591" s="260"/>
    </row>
    <row r="592" spans="1:106" s="144" customFormat="1" x14ac:dyDescent="0.25">
      <c r="A592" s="181"/>
      <c r="C592" s="133"/>
      <c r="L592" s="260"/>
      <c r="X592" s="260"/>
      <c r="Y592" s="170"/>
      <c r="AJ592" s="260"/>
      <c r="BD592" s="260"/>
      <c r="BY592" s="260"/>
      <c r="CJ592" s="260"/>
      <c r="CN592" s="170"/>
      <c r="CP592" s="260"/>
      <c r="CS592" s="260"/>
      <c r="CV592" s="260"/>
      <c r="CY592" s="260"/>
      <c r="DB592" s="260"/>
    </row>
    <row r="593" spans="1:106" s="144" customFormat="1" x14ac:dyDescent="0.25">
      <c r="A593" s="181"/>
      <c r="C593" s="133"/>
      <c r="L593" s="260"/>
      <c r="X593" s="260"/>
      <c r="Y593" s="170"/>
      <c r="AJ593" s="260"/>
      <c r="BD593" s="260"/>
      <c r="BY593" s="260"/>
      <c r="CJ593" s="260"/>
      <c r="CN593" s="170"/>
      <c r="CP593" s="260"/>
      <c r="CS593" s="260"/>
      <c r="CV593" s="260"/>
      <c r="CY593" s="260"/>
      <c r="DB593" s="260"/>
    </row>
    <row r="594" spans="1:106" s="144" customFormat="1" x14ac:dyDescent="0.25">
      <c r="A594" s="181"/>
      <c r="C594" s="133"/>
      <c r="L594" s="260"/>
      <c r="X594" s="260"/>
      <c r="Y594" s="170"/>
      <c r="AJ594" s="260"/>
      <c r="BD594" s="260"/>
      <c r="BY594" s="260"/>
      <c r="CJ594" s="260"/>
      <c r="CN594" s="170"/>
      <c r="CP594" s="260"/>
      <c r="CS594" s="260"/>
      <c r="CV594" s="260"/>
      <c r="CY594" s="260"/>
      <c r="DB594" s="260"/>
    </row>
    <row r="595" spans="1:106" s="144" customFormat="1" x14ac:dyDescent="0.25">
      <c r="A595" s="181"/>
      <c r="C595" s="133"/>
      <c r="L595" s="260"/>
      <c r="X595" s="260"/>
      <c r="Y595" s="170"/>
      <c r="AJ595" s="260"/>
      <c r="BD595" s="260"/>
      <c r="BY595" s="260"/>
      <c r="CJ595" s="260"/>
      <c r="CN595" s="170"/>
      <c r="CP595" s="260"/>
      <c r="CS595" s="260"/>
      <c r="CV595" s="260"/>
      <c r="CY595" s="260"/>
      <c r="DB595" s="260"/>
    </row>
    <row r="596" spans="1:106" s="144" customFormat="1" x14ac:dyDescent="0.25">
      <c r="A596" s="181"/>
      <c r="C596" s="133"/>
      <c r="L596" s="260"/>
      <c r="X596" s="260"/>
      <c r="Y596" s="170"/>
      <c r="AJ596" s="260"/>
      <c r="BD596" s="260"/>
      <c r="BY596" s="260"/>
      <c r="CJ596" s="260"/>
      <c r="CN596" s="170"/>
      <c r="CP596" s="260"/>
      <c r="CS596" s="260"/>
      <c r="CV596" s="260"/>
      <c r="CY596" s="260"/>
      <c r="DB596" s="260"/>
    </row>
    <row r="597" spans="1:106" s="144" customFormat="1" x14ac:dyDescent="0.25">
      <c r="A597" s="181"/>
      <c r="C597" s="133"/>
      <c r="L597" s="260"/>
      <c r="X597" s="260"/>
      <c r="Y597" s="170"/>
      <c r="AJ597" s="260"/>
      <c r="BD597" s="260"/>
      <c r="BY597" s="260"/>
      <c r="CJ597" s="260"/>
      <c r="CN597" s="170"/>
      <c r="CP597" s="260"/>
      <c r="CS597" s="260"/>
      <c r="CV597" s="260"/>
      <c r="CY597" s="260"/>
      <c r="DB597" s="260"/>
    </row>
    <row r="598" spans="1:106" s="144" customFormat="1" x14ac:dyDescent="0.25">
      <c r="A598" s="181"/>
      <c r="C598" s="133"/>
      <c r="L598" s="260"/>
      <c r="X598" s="260"/>
      <c r="Y598" s="170"/>
      <c r="AJ598" s="260"/>
      <c r="BD598" s="260"/>
      <c r="BY598" s="260"/>
      <c r="CJ598" s="260"/>
      <c r="CN598" s="170"/>
      <c r="CP598" s="260"/>
      <c r="CS598" s="260"/>
      <c r="CV598" s="260"/>
      <c r="CY598" s="260"/>
      <c r="DB598" s="260"/>
    </row>
    <row r="599" spans="1:106" s="144" customFormat="1" x14ac:dyDescent="0.25">
      <c r="A599" s="181"/>
      <c r="C599" s="133"/>
      <c r="L599" s="260"/>
      <c r="X599" s="260"/>
      <c r="Y599" s="170"/>
      <c r="AJ599" s="260"/>
      <c r="BD599" s="260"/>
      <c r="BY599" s="260"/>
      <c r="CJ599" s="260"/>
      <c r="CN599" s="170"/>
      <c r="CP599" s="260"/>
      <c r="CS599" s="260"/>
      <c r="CV599" s="260"/>
      <c r="CY599" s="260"/>
      <c r="DB599" s="260"/>
    </row>
    <row r="600" spans="1:106" s="144" customFormat="1" x14ac:dyDescent="0.25">
      <c r="A600" s="181"/>
      <c r="C600" s="133"/>
      <c r="L600" s="260"/>
      <c r="X600" s="260"/>
      <c r="Y600" s="170"/>
      <c r="AJ600" s="260"/>
      <c r="BD600" s="260"/>
      <c r="BY600" s="260"/>
      <c r="CJ600" s="260"/>
      <c r="CN600" s="170"/>
      <c r="CP600" s="260"/>
      <c r="CS600" s="260"/>
      <c r="CV600" s="260"/>
      <c r="CY600" s="260"/>
      <c r="DB600" s="260"/>
    </row>
    <row r="601" spans="1:106" s="144" customFormat="1" x14ac:dyDescent="0.25">
      <c r="A601" s="181"/>
      <c r="C601" s="133"/>
      <c r="L601" s="260"/>
      <c r="X601" s="260"/>
      <c r="Y601" s="170"/>
      <c r="AJ601" s="260"/>
      <c r="BD601" s="260"/>
      <c r="BY601" s="260"/>
      <c r="CJ601" s="260"/>
      <c r="CN601" s="170"/>
      <c r="CP601" s="260"/>
      <c r="CS601" s="260"/>
      <c r="CV601" s="260"/>
      <c r="CY601" s="260"/>
      <c r="DB601" s="260"/>
    </row>
    <row r="602" spans="1:106" s="144" customFormat="1" x14ac:dyDescent="0.25">
      <c r="A602" s="181"/>
      <c r="C602" s="133"/>
      <c r="L602" s="260"/>
      <c r="X602" s="260"/>
      <c r="Y602" s="170"/>
      <c r="AJ602" s="260"/>
      <c r="BD602" s="260"/>
      <c r="BY602" s="260"/>
      <c r="CJ602" s="260"/>
      <c r="CN602" s="170"/>
      <c r="CP602" s="260"/>
      <c r="CS602" s="260"/>
      <c r="CV602" s="260"/>
      <c r="CY602" s="260"/>
      <c r="DB602" s="260"/>
    </row>
    <row r="603" spans="1:106" s="144" customFormat="1" x14ac:dyDescent="0.25">
      <c r="A603" s="181"/>
      <c r="C603" s="133"/>
      <c r="L603" s="260"/>
      <c r="X603" s="260"/>
      <c r="Y603" s="170"/>
      <c r="AJ603" s="260"/>
      <c r="BD603" s="260"/>
      <c r="BY603" s="260"/>
      <c r="CJ603" s="260"/>
      <c r="CN603" s="170"/>
      <c r="CP603" s="260"/>
      <c r="CS603" s="260"/>
      <c r="CV603" s="260"/>
      <c r="CY603" s="260"/>
      <c r="DB603" s="260"/>
    </row>
    <row r="604" spans="1:106" s="144" customFormat="1" x14ac:dyDescent="0.25">
      <c r="A604" s="181"/>
      <c r="C604" s="133"/>
      <c r="L604" s="260"/>
      <c r="X604" s="260"/>
      <c r="Y604" s="170"/>
      <c r="AJ604" s="260"/>
      <c r="BD604" s="260"/>
      <c r="BY604" s="260"/>
      <c r="CJ604" s="260"/>
      <c r="CN604" s="170"/>
      <c r="CP604" s="260"/>
      <c r="CS604" s="260"/>
      <c r="CV604" s="260"/>
      <c r="CY604" s="260"/>
      <c r="DB604" s="260"/>
    </row>
    <row r="605" spans="1:106" s="144" customFormat="1" x14ac:dyDescent="0.25">
      <c r="A605" s="181"/>
      <c r="C605" s="133"/>
      <c r="L605" s="260"/>
      <c r="X605" s="260"/>
      <c r="Y605" s="170"/>
      <c r="AJ605" s="260"/>
      <c r="BD605" s="260"/>
      <c r="BY605" s="260"/>
      <c r="CJ605" s="260"/>
      <c r="CN605" s="170"/>
      <c r="CP605" s="260"/>
      <c r="CS605" s="260"/>
      <c r="CV605" s="260"/>
      <c r="CY605" s="260"/>
      <c r="DB605" s="260"/>
    </row>
    <row r="606" spans="1:106" s="144" customFormat="1" x14ac:dyDescent="0.25">
      <c r="A606" s="181"/>
      <c r="C606" s="133"/>
      <c r="L606" s="260"/>
      <c r="X606" s="260"/>
      <c r="Y606" s="170"/>
      <c r="AJ606" s="260"/>
      <c r="BD606" s="260"/>
      <c r="BY606" s="260"/>
      <c r="CJ606" s="260"/>
      <c r="CN606" s="170"/>
      <c r="CP606" s="260"/>
      <c r="CS606" s="260"/>
      <c r="CV606" s="260"/>
      <c r="CY606" s="260"/>
      <c r="DB606" s="260"/>
    </row>
    <row r="607" spans="1:106" s="144" customFormat="1" x14ac:dyDescent="0.25">
      <c r="A607" s="181"/>
      <c r="C607" s="133"/>
      <c r="L607" s="260"/>
      <c r="X607" s="260"/>
      <c r="Y607" s="170"/>
      <c r="AJ607" s="260"/>
      <c r="BD607" s="260"/>
      <c r="BY607" s="260"/>
      <c r="CJ607" s="260"/>
      <c r="CN607" s="170"/>
      <c r="CP607" s="260"/>
      <c r="CS607" s="260"/>
      <c r="CV607" s="260"/>
      <c r="CY607" s="260"/>
      <c r="DB607" s="260"/>
    </row>
    <row r="608" spans="1:106" s="144" customFormat="1" x14ac:dyDescent="0.25">
      <c r="A608" s="181"/>
      <c r="C608" s="133"/>
      <c r="L608" s="260"/>
      <c r="X608" s="260"/>
      <c r="Y608" s="170"/>
      <c r="AJ608" s="260"/>
      <c r="BD608" s="260"/>
      <c r="BY608" s="260"/>
      <c r="CJ608" s="260"/>
      <c r="CN608" s="170"/>
      <c r="CP608" s="260"/>
      <c r="CS608" s="260"/>
      <c r="CV608" s="260"/>
      <c r="CY608" s="260"/>
      <c r="DB608" s="260"/>
    </row>
    <row r="609" spans="1:106" s="144" customFormat="1" x14ac:dyDescent="0.25">
      <c r="A609" s="181"/>
      <c r="C609" s="133"/>
      <c r="L609" s="260"/>
      <c r="X609" s="260"/>
      <c r="Y609" s="170"/>
      <c r="AJ609" s="260"/>
      <c r="BD609" s="260"/>
      <c r="BY609" s="260"/>
      <c r="CJ609" s="260"/>
      <c r="CN609" s="170"/>
      <c r="CP609" s="260"/>
      <c r="CS609" s="260"/>
      <c r="CV609" s="260"/>
      <c r="CY609" s="260"/>
      <c r="DB609" s="260"/>
    </row>
    <row r="610" spans="1:106" s="144" customFormat="1" x14ac:dyDescent="0.25">
      <c r="A610" s="181"/>
      <c r="C610" s="133"/>
      <c r="L610" s="260"/>
      <c r="X610" s="260"/>
      <c r="Y610" s="170"/>
      <c r="AJ610" s="260"/>
      <c r="BD610" s="260"/>
      <c r="BY610" s="260"/>
      <c r="CJ610" s="260"/>
      <c r="CN610" s="170"/>
      <c r="CP610" s="260"/>
      <c r="CS610" s="260"/>
      <c r="CV610" s="260"/>
      <c r="CY610" s="260"/>
      <c r="DB610" s="260"/>
    </row>
    <row r="611" spans="1:106" s="144" customFormat="1" x14ac:dyDescent="0.25">
      <c r="A611" s="181"/>
      <c r="C611" s="133"/>
      <c r="L611" s="260"/>
      <c r="X611" s="260"/>
      <c r="Y611" s="170"/>
      <c r="AJ611" s="260"/>
      <c r="BD611" s="260"/>
      <c r="BY611" s="260"/>
      <c r="CJ611" s="260"/>
      <c r="CN611" s="170"/>
      <c r="CP611" s="260"/>
      <c r="CS611" s="260"/>
      <c r="CV611" s="260"/>
      <c r="CY611" s="260"/>
      <c r="DB611" s="260"/>
    </row>
    <row r="612" spans="1:106" s="144" customFormat="1" x14ac:dyDescent="0.25">
      <c r="A612" s="181"/>
      <c r="C612" s="133"/>
      <c r="L612" s="260"/>
      <c r="X612" s="260"/>
      <c r="Y612" s="170"/>
      <c r="AJ612" s="260"/>
      <c r="BD612" s="260"/>
      <c r="BY612" s="260"/>
      <c r="CJ612" s="260"/>
      <c r="CN612" s="170"/>
      <c r="CP612" s="260"/>
      <c r="CS612" s="260"/>
      <c r="CV612" s="260"/>
      <c r="CY612" s="260"/>
      <c r="DB612" s="260"/>
    </row>
    <row r="613" spans="1:106" s="144" customFormat="1" x14ac:dyDescent="0.25">
      <c r="A613" s="181"/>
      <c r="C613" s="133"/>
      <c r="L613" s="260"/>
      <c r="X613" s="260"/>
      <c r="Y613" s="170"/>
      <c r="AJ613" s="260"/>
      <c r="BD613" s="260"/>
      <c r="BY613" s="260"/>
      <c r="CJ613" s="260"/>
      <c r="CN613" s="170"/>
      <c r="CP613" s="260"/>
      <c r="CS613" s="260"/>
      <c r="CV613" s="260"/>
      <c r="CY613" s="260"/>
      <c r="DB613" s="260"/>
    </row>
    <row r="614" spans="1:106" s="144" customFormat="1" x14ac:dyDescent="0.25">
      <c r="A614" s="181"/>
      <c r="C614" s="133"/>
      <c r="L614" s="260"/>
      <c r="X614" s="260"/>
      <c r="Y614" s="170"/>
      <c r="AJ614" s="260"/>
      <c r="BD614" s="260"/>
      <c r="BY614" s="260"/>
      <c r="CJ614" s="260"/>
      <c r="CN614" s="170"/>
      <c r="CP614" s="260"/>
      <c r="CS614" s="260"/>
      <c r="CV614" s="260"/>
      <c r="CY614" s="260"/>
      <c r="DB614" s="260"/>
    </row>
    <row r="615" spans="1:106" s="144" customFormat="1" x14ac:dyDescent="0.25">
      <c r="A615" s="181"/>
      <c r="C615" s="133"/>
      <c r="L615" s="260"/>
      <c r="X615" s="260"/>
      <c r="Y615" s="170"/>
      <c r="AJ615" s="260"/>
      <c r="BD615" s="260"/>
      <c r="BY615" s="260"/>
      <c r="CJ615" s="260"/>
      <c r="CN615" s="170"/>
      <c r="CP615" s="260"/>
      <c r="CS615" s="260"/>
      <c r="CV615" s="260"/>
      <c r="CY615" s="260"/>
      <c r="DB615" s="260"/>
    </row>
    <row r="616" spans="1:106" s="144" customFormat="1" x14ac:dyDescent="0.25">
      <c r="A616" s="181"/>
      <c r="C616" s="133"/>
      <c r="L616" s="260"/>
      <c r="X616" s="260"/>
      <c r="Y616" s="170"/>
      <c r="AJ616" s="260"/>
      <c r="BD616" s="260"/>
      <c r="BY616" s="260"/>
      <c r="CJ616" s="260"/>
      <c r="CN616" s="170"/>
      <c r="CP616" s="260"/>
      <c r="CS616" s="260"/>
      <c r="CV616" s="260"/>
      <c r="CY616" s="260"/>
      <c r="DB616" s="260"/>
    </row>
    <row r="617" spans="1:106" s="144" customFormat="1" x14ac:dyDescent="0.25">
      <c r="A617" s="181"/>
      <c r="C617" s="133"/>
      <c r="L617" s="260"/>
      <c r="X617" s="260"/>
      <c r="Y617" s="170"/>
      <c r="AJ617" s="260"/>
      <c r="BD617" s="260"/>
      <c r="BY617" s="260"/>
      <c r="CJ617" s="260"/>
      <c r="CN617" s="170"/>
      <c r="CP617" s="260"/>
      <c r="CS617" s="260"/>
      <c r="CV617" s="260"/>
      <c r="CY617" s="260"/>
      <c r="DB617" s="260"/>
    </row>
    <row r="618" spans="1:106" s="144" customFormat="1" x14ac:dyDescent="0.25">
      <c r="A618" s="181"/>
      <c r="C618" s="133"/>
      <c r="L618" s="260"/>
      <c r="X618" s="260"/>
      <c r="Y618" s="170"/>
      <c r="AJ618" s="260"/>
      <c r="BD618" s="260"/>
      <c r="BY618" s="260"/>
      <c r="CJ618" s="260"/>
      <c r="CN618" s="170"/>
      <c r="CP618" s="260"/>
      <c r="CS618" s="260"/>
      <c r="CV618" s="260"/>
      <c r="CY618" s="260"/>
      <c r="DB618" s="260"/>
    </row>
    <row r="619" spans="1:106" s="144" customFormat="1" x14ac:dyDescent="0.25">
      <c r="A619" s="181"/>
      <c r="C619" s="133"/>
      <c r="L619" s="260"/>
      <c r="X619" s="260"/>
      <c r="Y619" s="170"/>
      <c r="AJ619" s="260"/>
      <c r="BD619" s="260"/>
      <c r="BY619" s="260"/>
      <c r="CJ619" s="260"/>
      <c r="CN619" s="170"/>
      <c r="CP619" s="260"/>
      <c r="CS619" s="260"/>
      <c r="CV619" s="260"/>
      <c r="CY619" s="260"/>
      <c r="DB619" s="260"/>
    </row>
    <row r="620" spans="1:106" s="144" customFormat="1" x14ac:dyDescent="0.25">
      <c r="A620" s="181"/>
      <c r="C620" s="133"/>
      <c r="L620" s="260"/>
      <c r="X620" s="260"/>
      <c r="Y620" s="170"/>
      <c r="AJ620" s="260"/>
      <c r="BD620" s="260"/>
      <c r="BY620" s="260"/>
      <c r="CJ620" s="260"/>
      <c r="CN620" s="170"/>
      <c r="CP620" s="260"/>
      <c r="CS620" s="260"/>
      <c r="CV620" s="260"/>
      <c r="CY620" s="260"/>
      <c r="DB620" s="260"/>
    </row>
    <row r="621" spans="1:106" s="144" customFormat="1" x14ac:dyDescent="0.25">
      <c r="A621" s="181"/>
      <c r="C621" s="133"/>
      <c r="L621" s="260"/>
      <c r="X621" s="260"/>
      <c r="Y621" s="170"/>
      <c r="AJ621" s="260"/>
      <c r="BD621" s="260"/>
      <c r="BY621" s="260"/>
      <c r="CJ621" s="260"/>
      <c r="CN621" s="170"/>
      <c r="CP621" s="260"/>
      <c r="CS621" s="260"/>
      <c r="CV621" s="260"/>
      <c r="CY621" s="260"/>
      <c r="DB621" s="260"/>
    </row>
    <row r="622" spans="1:106" s="144" customFormat="1" x14ac:dyDescent="0.25">
      <c r="A622" s="181"/>
      <c r="C622" s="133"/>
      <c r="L622" s="260"/>
      <c r="X622" s="260"/>
      <c r="Y622" s="170"/>
      <c r="AJ622" s="260"/>
      <c r="BD622" s="260"/>
      <c r="BY622" s="260"/>
      <c r="CJ622" s="260"/>
      <c r="CN622" s="170"/>
      <c r="CP622" s="260"/>
      <c r="CS622" s="260"/>
      <c r="CV622" s="260"/>
      <c r="CY622" s="260"/>
      <c r="DB622" s="260"/>
    </row>
    <row r="623" spans="1:106" s="144" customFormat="1" x14ac:dyDescent="0.25">
      <c r="A623" s="181"/>
      <c r="C623" s="133"/>
      <c r="L623" s="260"/>
      <c r="X623" s="260"/>
      <c r="Y623" s="170"/>
      <c r="AJ623" s="260"/>
      <c r="BD623" s="260"/>
      <c r="BY623" s="260"/>
      <c r="CJ623" s="260"/>
      <c r="CN623" s="170"/>
      <c r="CP623" s="260"/>
      <c r="CS623" s="260"/>
      <c r="CV623" s="260"/>
      <c r="CY623" s="260"/>
      <c r="DB623" s="260"/>
    </row>
    <row r="624" spans="1:106" s="144" customFormat="1" x14ac:dyDescent="0.25">
      <c r="A624" s="181"/>
      <c r="C624" s="133"/>
      <c r="L624" s="260"/>
      <c r="X624" s="260"/>
      <c r="Y624" s="170"/>
      <c r="AJ624" s="260"/>
      <c r="BD624" s="260"/>
      <c r="BY624" s="260"/>
      <c r="CJ624" s="260"/>
      <c r="CN624" s="170"/>
      <c r="CP624" s="260"/>
      <c r="CS624" s="260"/>
      <c r="CV624" s="260"/>
      <c r="CY624" s="260"/>
      <c r="DB624" s="260"/>
    </row>
    <row r="625" spans="1:106" s="144" customFormat="1" x14ac:dyDescent="0.25">
      <c r="A625" s="181"/>
      <c r="C625" s="133"/>
      <c r="L625" s="260"/>
      <c r="X625" s="260"/>
      <c r="Y625" s="170"/>
      <c r="AJ625" s="260"/>
      <c r="BD625" s="260"/>
      <c r="BY625" s="260"/>
      <c r="CJ625" s="260"/>
      <c r="CN625" s="170"/>
      <c r="CP625" s="260"/>
      <c r="CS625" s="260"/>
      <c r="CV625" s="260"/>
      <c r="CY625" s="260"/>
      <c r="DB625" s="260"/>
    </row>
    <row r="626" spans="1:106" s="144" customFormat="1" x14ac:dyDescent="0.25">
      <c r="A626" s="181"/>
      <c r="C626" s="133"/>
      <c r="L626" s="260"/>
      <c r="X626" s="260"/>
      <c r="Y626" s="170"/>
      <c r="AJ626" s="260"/>
      <c r="BD626" s="260"/>
      <c r="BY626" s="260"/>
      <c r="CJ626" s="260"/>
      <c r="CN626" s="170"/>
      <c r="CP626" s="260"/>
      <c r="CS626" s="260"/>
      <c r="CV626" s="260"/>
      <c r="CY626" s="260"/>
      <c r="DB626" s="260"/>
    </row>
    <row r="627" spans="1:106" s="144" customFormat="1" x14ac:dyDescent="0.25">
      <c r="A627" s="181"/>
      <c r="C627" s="133"/>
      <c r="L627" s="260"/>
      <c r="X627" s="260"/>
      <c r="Y627" s="170"/>
      <c r="AJ627" s="260"/>
      <c r="BD627" s="260"/>
      <c r="BY627" s="260"/>
      <c r="CJ627" s="260"/>
      <c r="CN627" s="170"/>
      <c r="CP627" s="260"/>
      <c r="CS627" s="260"/>
      <c r="CV627" s="260"/>
      <c r="CY627" s="260"/>
      <c r="DB627" s="260"/>
    </row>
    <row r="628" spans="1:106" s="144" customFormat="1" x14ac:dyDescent="0.25">
      <c r="A628" s="181"/>
      <c r="C628" s="133"/>
      <c r="L628" s="260"/>
      <c r="X628" s="260"/>
      <c r="Y628" s="170"/>
      <c r="AJ628" s="260"/>
      <c r="BD628" s="260"/>
      <c r="BY628" s="260"/>
      <c r="CJ628" s="260"/>
      <c r="CN628" s="170"/>
      <c r="CP628" s="260"/>
      <c r="CS628" s="260"/>
      <c r="CV628" s="260"/>
      <c r="CY628" s="260"/>
      <c r="DB628" s="260"/>
    </row>
    <row r="629" spans="1:106" s="144" customFormat="1" x14ac:dyDescent="0.25">
      <c r="A629" s="181"/>
      <c r="C629" s="133"/>
      <c r="L629" s="260"/>
      <c r="X629" s="260"/>
      <c r="Y629" s="170"/>
      <c r="AJ629" s="260"/>
      <c r="BD629" s="260"/>
      <c r="BY629" s="260"/>
      <c r="CJ629" s="260"/>
      <c r="CN629" s="170"/>
      <c r="CP629" s="260"/>
      <c r="CS629" s="260"/>
      <c r="CV629" s="260"/>
      <c r="CY629" s="260"/>
      <c r="DB629" s="260"/>
    </row>
    <row r="630" spans="1:106" s="144" customFormat="1" x14ac:dyDescent="0.25">
      <c r="A630" s="181"/>
      <c r="C630" s="133"/>
      <c r="L630" s="260"/>
      <c r="X630" s="260"/>
      <c r="Y630" s="170"/>
      <c r="AJ630" s="260"/>
      <c r="BD630" s="260"/>
      <c r="BY630" s="260"/>
      <c r="CJ630" s="260"/>
      <c r="CN630" s="170"/>
      <c r="CP630" s="260"/>
      <c r="CS630" s="260"/>
      <c r="CV630" s="260"/>
      <c r="CY630" s="260"/>
      <c r="DB630" s="260"/>
    </row>
    <row r="631" spans="1:106" s="144" customFormat="1" x14ac:dyDescent="0.25">
      <c r="A631" s="181"/>
      <c r="C631" s="133"/>
      <c r="L631" s="260"/>
      <c r="X631" s="260"/>
      <c r="Y631" s="170"/>
      <c r="AJ631" s="260"/>
      <c r="BD631" s="260"/>
      <c r="BY631" s="260"/>
      <c r="CJ631" s="260"/>
      <c r="CN631" s="170"/>
      <c r="CP631" s="260"/>
      <c r="CS631" s="260"/>
      <c r="CV631" s="260"/>
      <c r="CY631" s="260"/>
      <c r="DB631" s="260"/>
    </row>
    <row r="632" spans="1:106" s="144" customFormat="1" x14ac:dyDescent="0.25">
      <c r="A632" s="181"/>
      <c r="C632" s="133"/>
      <c r="L632" s="260"/>
      <c r="X632" s="260"/>
      <c r="Y632" s="170"/>
      <c r="AJ632" s="260"/>
      <c r="BD632" s="260"/>
      <c r="BY632" s="260"/>
      <c r="CJ632" s="260"/>
      <c r="CN632" s="170"/>
      <c r="CP632" s="260"/>
      <c r="CS632" s="260"/>
      <c r="CV632" s="260"/>
      <c r="CY632" s="260"/>
      <c r="DB632" s="260"/>
    </row>
    <row r="633" spans="1:106" s="144" customFormat="1" x14ac:dyDescent="0.25">
      <c r="A633" s="181"/>
      <c r="C633" s="133"/>
      <c r="L633" s="260"/>
      <c r="X633" s="260"/>
      <c r="Y633" s="170"/>
      <c r="AJ633" s="260"/>
      <c r="BD633" s="260"/>
      <c r="BY633" s="260"/>
      <c r="CJ633" s="260"/>
      <c r="CN633" s="170"/>
      <c r="CP633" s="260"/>
      <c r="CS633" s="260"/>
      <c r="CV633" s="260"/>
      <c r="CY633" s="260"/>
      <c r="DB633" s="260"/>
    </row>
    <row r="634" spans="1:106" s="144" customFormat="1" x14ac:dyDescent="0.25">
      <c r="A634" s="181"/>
      <c r="C634" s="133"/>
      <c r="L634" s="260"/>
      <c r="X634" s="260"/>
      <c r="Y634" s="170"/>
      <c r="AJ634" s="260"/>
      <c r="BD634" s="260"/>
      <c r="BY634" s="260"/>
      <c r="CJ634" s="260"/>
      <c r="CN634" s="170"/>
      <c r="CP634" s="260"/>
      <c r="CS634" s="260"/>
      <c r="CV634" s="260"/>
      <c r="CY634" s="260"/>
      <c r="DB634" s="260"/>
    </row>
    <row r="635" spans="1:106" s="144" customFormat="1" x14ac:dyDescent="0.25">
      <c r="A635" s="181"/>
      <c r="C635" s="133"/>
      <c r="L635" s="260"/>
      <c r="X635" s="260"/>
      <c r="Y635" s="170"/>
      <c r="AJ635" s="260"/>
      <c r="BD635" s="260"/>
      <c r="BY635" s="260"/>
      <c r="CJ635" s="260"/>
      <c r="CN635" s="170"/>
      <c r="CP635" s="260"/>
      <c r="CS635" s="260"/>
      <c r="CV635" s="260"/>
      <c r="CY635" s="260"/>
      <c r="DB635" s="260"/>
    </row>
    <row r="636" spans="1:106" s="144" customFormat="1" x14ac:dyDescent="0.25">
      <c r="A636" s="181"/>
      <c r="C636" s="133"/>
      <c r="L636" s="260"/>
      <c r="X636" s="260"/>
      <c r="Y636" s="170"/>
      <c r="AJ636" s="260"/>
      <c r="BD636" s="260"/>
      <c r="BY636" s="260"/>
      <c r="CJ636" s="260"/>
      <c r="CN636" s="170"/>
      <c r="CP636" s="260"/>
      <c r="CS636" s="260"/>
      <c r="CV636" s="260"/>
      <c r="CY636" s="260"/>
      <c r="DB636" s="260"/>
    </row>
    <row r="637" spans="1:106" s="144" customFormat="1" x14ac:dyDescent="0.25">
      <c r="A637" s="181"/>
      <c r="C637" s="133"/>
      <c r="L637" s="260"/>
      <c r="X637" s="260"/>
      <c r="Y637" s="170"/>
      <c r="AJ637" s="260"/>
      <c r="BD637" s="260"/>
      <c r="BY637" s="260"/>
      <c r="CJ637" s="260"/>
      <c r="CN637" s="170"/>
      <c r="CP637" s="260"/>
      <c r="CS637" s="260"/>
      <c r="CV637" s="260"/>
      <c r="CY637" s="260"/>
      <c r="DB637" s="260"/>
    </row>
    <row r="638" spans="1:106" s="144" customFormat="1" x14ac:dyDescent="0.25">
      <c r="A638" s="181"/>
      <c r="C638" s="133"/>
      <c r="L638" s="260"/>
      <c r="X638" s="260"/>
      <c r="Y638" s="170"/>
      <c r="AJ638" s="260"/>
      <c r="BD638" s="260"/>
      <c r="BY638" s="260"/>
      <c r="CJ638" s="260"/>
      <c r="CN638" s="170"/>
      <c r="CP638" s="260"/>
      <c r="CS638" s="260"/>
      <c r="CV638" s="260"/>
      <c r="CY638" s="260"/>
      <c r="DB638" s="260"/>
    </row>
    <row r="639" spans="1:106" s="144" customFormat="1" x14ac:dyDescent="0.25">
      <c r="A639" s="181"/>
      <c r="C639" s="133"/>
      <c r="L639" s="260"/>
      <c r="X639" s="260"/>
      <c r="Y639" s="170"/>
      <c r="AJ639" s="260"/>
      <c r="BD639" s="260"/>
      <c r="BY639" s="260"/>
      <c r="CJ639" s="260"/>
      <c r="CN639" s="170"/>
      <c r="CP639" s="260"/>
      <c r="CS639" s="260"/>
      <c r="CV639" s="260"/>
      <c r="CY639" s="260"/>
      <c r="DB639" s="260"/>
    </row>
    <row r="640" spans="1:106" s="144" customFormat="1" x14ac:dyDescent="0.25">
      <c r="A640" s="181"/>
      <c r="C640" s="133"/>
      <c r="L640" s="260"/>
      <c r="X640" s="260"/>
      <c r="Y640" s="170"/>
      <c r="AJ640" s="260"/>
      <c r="BD640" s="260"/>
      <c r="BY640" s="260"/>
      <c r="CJ640" s="260"/>
      <c r="CN640" s="170"/>
      <c r="CP640" s="260"/>
      <c r="CS640" s="260"/>
      <c r="CV640" s="260"/>
      <c r="CY640" s="260"/>
      <c r="DB640" s="260"/>
    </row>
    <row r="641" spans="1:106" s="144" customFormat="1" x14ac:dyDescent="0.25">
      <c r="A641" s="181"/>
      <c r="C641" s="133"/>
      <c r="L641" s="260"/>
      <c r="X641" s="260"/>
      <c r="Y641" s="170"/>
      <c r="AJ641" s="260"/>
      <c r="BD641" s="260"/>
      <c r="BY641" s="260"/>
      <c r="CJ641" s="260"/>
      <c r="CN641" s="170"/>
      <c r="CP641" s="260"/>
      <c r="CS641" s="260"/>
      <c r="CV641" s="260"/>
      <c r="CY641" s="260"/>
      <c r="DB641" s="260"/>
    </row>
    <row r="642" spans="1:106" s="144" customFormat="1" x14ac:dyDescent="0.25">
      <c r="A642" s="181"/>
      <c r="C642" s="133"/>
      <c r="L642" s="260"/>
      <c r="X642" s="260"/>
      <c r="Y642" s="170"/>
      <c r="AJ642" s="260"/>
      <c r="BD642" s="260"/>
      <c r="BY642" s="260"/>
      <c r="CJ642" s="260"/>
      <c r="CN642" s="170"/>
      <c r="CP642" s="260"/>
      <c r="CS642" s="260"/>
      <c r="CV642" s="260"/>
      <c r="CY642" s="260"/>
      <c r="DB642" s="260"/>
    </row>
    <row r="643" spans="1:106" s="144" customFormat="1" x14ac:dyDescent="0.25">
      <c r="A643" s="181"/>
      <c r="C643" s="133"/>
      <c r="L643" s="260"/>
      <c r="X643" s="260"/>
      <c r="Y643" s="170"/>
      <c r="AJ643" s="260"/>
      <c r="BD643" s="260"/>
      <c r="BY643" s="260"/>
      <c r="CJ643" s="260"/>
      <c r="CN643" s="170"/>
      <c r="CP643" s="260"/>
      <c r="CS643" s="260"/>
      <c r="CV643" s="260"/>
      <c r="CY643" s="260"/>
      <c r="DB643" s="260"/>
    </row>
    <row r="644" spans="1:106" s="144" customFormat="1" x14ac:dyDescent="0.25">
      <c r="A644" s="181"/>
      <c r="C644" s="133"/>
      <c r="L644" s="260"/>
      <c r="X644" s="260"/>
      <c r="Y644" s="170"/>
      <c r="AJ644" s="260"/>
      <c r="BD644" s="260"/>
      <c r="BY644" s="260"/>
      <c r="CJ644" s="260"/>
      <c r="CN644" s="170"/>
      <c r="CP644" s="260"/>
      <c r="CS644" s="260"/>
      <c r="CV644" s="260"/>
      <c r="CY644" s="260"/>
      <c r="DB644" s="260"/>
    </row>
    <row r="645" spans="1:106" s="144" customFormat="1" x14ac:dyDescent="0.25">
      <c r="A645" s="181"/>
      <c r="C645" s="133"/>
      <c r="L645" s="260"/>
      <c r="X645" s="260"/>
      <c r="Y645" s="170"/>
      <c r="AJ645" s="260"/>
      <c r="BD645" s="260"/>
      <c r="BY645" s="260"/>
      <c r="CJ645" s="260"/>
      <c r="CN645" s="170"/>
      <c r="CP645" s="260"/>
      <c r="CS645" s="260"/>
      <c r="CV645" s="260"/>
      <c r="CY645" s="260"/>
      <c r="DB645" s="260"/>
    </row>
    <row r="646" spans="1:106" s="144" customFormat="1" x14ac:dyDescent="0.25">
      <c r="A646" s="181"/>
      <c r="C646" s="133"/>
      <c r="L646" s="260"/>
      <c r="X646" s="260"/>
      <c r="Y646" s="170"/>
      <c r="AJ646" s="260"/>
      <c r="BD646" s="260"/>
      <c r="BY646" s="260"/>
      <c r="CJ646" s="260"/>
      <c r="CN646" s="170"/>
      <c r="CP646" s="260"/>
      <c r="CS646" s="260"/>
      <c r="CV646" s="260"/>
      <c r="CY646" s="260"/>
      <c r="DB646" s="260"/>
    </row>
    <row r="647" spans="1:106" s="144" customFormat="1" x14ac:dyDescent="0.25">
      <c r="A647" s="181"/>
      <c r="C647" s="133"/>
      <c r="L647" s="260"/>
      <c r="X647" s="260"/>
      <c r="Y647" s="170"/>
      <c r="AJ647" s="260"/>
      <c r="BD647" s="260"/>
      <c r="BY647" s="260"/>
      <c r="CJ647" s="260"/>
      <c r="CN647" s="170"/>
      <c r="CP647" s="260"/>
      <c r="CS647" s="260"/>
      <c r="CV647" s="260"/>
      <c r="CY647" s="260"/>
      <c r="DB647" s="260"/>
    </row>
    <row r="648" spans="1:106" s="144" customFormat="1" x14ac:dyDescent="0.25">
      <c r="A648" s="181"/>
      <c r="C648" s="133"/>
      <c r="L648" s="260"/>
      <c r="X648" s="260"/>
      <c r="Y648" s="170"/>
      <c r="AJ648" s="260"/>
      <c r="BD648" s="260"/>
      <c r="BY648" s="260"/>
      <c r="CJ648" s="260"/>
      <c r="CN648" s="170"/>
      <c r="CP648" s="260"/>
      <c r="CS648" s="260"/>
      <c r="CV648" s="260"/>
      <c r="CY648" s="260"/>
      <c r="DB648" s="260"/>
    </row>
    <row r="649" spans="1:106" s="144" customFormat="1" x14ac:dyDescent="0.25">
      <c r="A649" s="181"/>
      <c r="C649" s="133"/>
      <c r="L649" s="260"/>
      <c r="X649" s="260"/>
      <c r="Y649" s="170"/>
      <c r="AJ649" s="260"/>
      <c r="BD649" s="260"/>
      <c r="BY649" s="260"/>
      <c r="CJ649" s="260"/>
      <c r="CN649" s="170"/>
      <c r="CP649" s="260"/>
      <c r="CS649" s="260"/>
      <c r="CV649" s="260"/>
      <c r="CY649" s="260"/>
      <c r="DB649" s="260"/>
    </row>
    <row r="650" spans="1:106" s="144" customFormat="1" x14ac:dyDescent="0.25">
      <c r="A650" s="181"/>
      <c r="C650" s="133"/>
      <c r="L650" s="260"/>
      <c r="X650" s="260"/>
      <c r="Y650" s="170"/>
      <c r="AJ650" s="260"/>
      <c r="BD650" s="260"/>
      <c r="BY650" s="260"/>
      <c r="CJ650" s="260"/>
      <c r="CN650" s="170"/>
      <c r="CP650" s="260"/>
      <c r="CS650" s="260"/>
      <c r="CV650" s="260"/>
      <c r="CY650" s="260"/>
      <c r="DB650" s="260"/>
    </row>
    <row r="651" spans="1:106" s="144" customFormat="1" x14ac:dyDescent="0.25">
      <c r="A651" s="181"/>
      <c r="C651" s="133"/>
      <c r="L651" s="260"/>
      <c r="X651" s="260"/>
      <c r="Y651" s="170"/>
      <c r="AJ651" s="260"/>
      <c r="BD651" s="260"/>
      <c r="BY651" s="260"/>
      <c r="CJ651" s="260"/>
      <c r="CN651" s="170"/>
      <c r="CP651" s="260"/>
      <c r="CS651" s="260"/>
      <c r="CV651" s="260"/>
      <c r="CY651" s="260"/>
      <c r="DB651" s="260"/>
    </row>
    <row r="652" spans="1:106" s="144" customFormat="1" x14ac:dyDescent="0.25">
      <c r="A652" s="181"/>
      <c r="C652" s="133"/>
      <c r="L652" s="260"/>
      <c r="X652" s="260"/>
      <c r="Y652" s="170"/>
      <c r="AJ652" s="260"/>
      <c r="BD652" s="260"/>
      <c r="BY652" s="260"/>
      <c r="CJ652" s="260"/>
      <c r="CN652" s="170"/>
      <c r="CP652" s="260"/>
      <c r="CS652" s="260"/>
      <c r="CV652" s="260"/>
      <c r="CY652" s="260"/>
      <c r="DB652" s="260"/>
    </row>
    <row r="653" spans="1:106" s="144" customFormat="1" x14ac:dyDescent="0.25">
      <c r="A653" s="181"/>
      <c r="C653" s="133"/>
      <c r="L653" s="260"/>
      <c r="X653" s="260"/>
      <c r="Y653" s="170"/>
      <c r="AJ653" s="260"/>
      <c r="BD653" s="260"/>
      <c r="BY653" s="260"/>
      <c r="CJ653" s="260"/>
      <c r="CN653" s="170"/>
      <c r="CP653" s="260"/>
      <c r="CS653" s="260"/>
      <c r="CV653" s="260"/>
      <c r="CY653" s="260"/>
      <c r="DB653" s="260"/>
    </row>
    <row r="654" spans="1:106" s="144" customFormat="1" x14ac:dyDescent="0.25">
      <c r="A654" s="181"/>
      <c r="C654" s="133"/>
      <c r="L654" s="260"/>
      <c r="X654" s="260"/>
      <c r="Y654" s="170"/>
      <c r="AJ654" s="260"/>
      <c r="BD654" s="260"/>
      <c r="BY654" s="260"/>
      <c r="CJ654" s="260"/>
      <c r="CN654" s="170"/>
      <c r="CP654" s="260"/>
      <c r="CS654" s="260"/>
      <c r="CV654" s="260"/>
      <c r="CY654" s="260"/>
      <c r="DB654" s="260"/>
    </row>
    <row r="655" spans="1:106" s="144" customFormat="1" x14ac:dyDescent="0.25">
      <c r="A655" s="181"/>
      <c r="C655" s="133"/>
      <c r="L655" s="260"/>
      <c r="X655" s="260"/>
      <c r="Y655" s="170"/>
      <c r="AJ655" s="260"/>
      <c r="BD655" s="260"/>
      <c r="BY655" s="260"/>
      <c r="CJ655" s="260"/>
      <c r="CN655" s="170"/>
      <c r="CP655" s="260"/>
      <c r="CS655" s="260"/>
      <c r="CV655" s="260"/>
      <c r="CY655" s="260"/>
      <c r="DB655" s="260"/>
    </row>
    <row r="656" spans="1:106" s="144" customFormat="1" x14ac:dyDescent="0.25">
      <c r="A656" s="181"/>
      <c r="C656" s="133"/>
      <c r="L656" s="260"/>
      <c r="X656" s="260"/>
      <c r="Y656" s="170"/>
      <c r="AJ656" s="260"/>
      <c r="BD656" s="260"/>
      <c r="BY656" s="260"/>
      <c r="CJ656" s="260"/>
      <c r="CN656" s="170"/>
      <c r="CP656" s="260"/>
      <c r="CS656" s="260"/>
      <c r="CV656" s="260"/>
      <c r="CY656" s="260"/>
      <c r="DB656" s="260"/>
    </row>
    <row r="657" spans="1:106" s="144" customFormat="1" x14ac:dyDescent="0.25">
      <c r="A657" s="181"/>
      <c r="C657" s="133"/>
      <c r="L657" s="260"/>
      <c r="X657" s="260"/>
      <c r="Y657" s="170"/>
      <c r="AJ657" s="260"/>
      <c r="BD657" s="260"/>
      <c r="BY657" s="260"/>
      <c r="CJ657" s="260"/>
      <c r="CN657" s="170"/>
      <c r="CP657" s="260"/>
      <c r="CS657" s="260"/>
      <c r="CV657" s="260"/>
      <c r="CY657" s="260"/>
      <c r="DB657" s="260"/>
    </row>
    <row r="658" spans="1:106" s="144" customFormat="1" x14ac:dyDescent="0.25">
      <c r="A658" s="181"/>
      <c r="C658" s="133"/>
      <c r="L658" s="260"/>
      <c r="X658" s="260"/>
      <c r="Y658" s="170"/>
      <c r="AJ658" s="260"/>
      <c r="BD658" s="260"/>
      <c r="BY658" s="260"/>
      <c r="CJ658" s="260"/>
      <c r="CN658" s="170"/>
      <c r="CP658" s="260"/>
      <c r="CS658" s="260"/>
      <c r="CV658" s="260"/>
      <c r="CY658" s="260"/>
      <c r="DB658" s="260"/>
    </row>
    <row r="659" spans="1:106" s="144" customFormat="1" x14ac:dyDescent="0.25">
      <c r="A659" s="181"/>
      <c r="C659" s="133"/>
      <c r="L659" s="260"/>
      <c r="X659" s="260"/>
      <c r="Y659" s="170"/>
      <c r="AJ659" s="260"/>
      <c r="BD659" s="260"/>
      <c r="BY659" s="260"/>
      <c r="CJ659" s="260"/>
      <c r="CN659" s="170"/>
      <c r="CP659" s="260"/>
      <c r="CS659" s="260"/>
      <c r="CV659" s="260"/>
      <c r="CY659" s="260"/>
      <c r="DB659" s="260"/>
    </row>
    <row r="660" spans="1:106" s="144" customFormat="1" x14ac:dyDescent="0.25">
      <c r="A660" s="181"/>
      <c r="C660" s="133"/>
      <c r="L660" s="260"/>
      <c r="X660" s="260"/>
      <c r="Y660" s="170"/>
      <c r="AJ660" s="260"/>
      <c r="BD660" s="260"/>
      <c r="BY660" s="260"/>
      <c r="CJ660" s="260"/>
      <c r="CN660" s="170"/>
      <c r="CP660" s="260"/>
      <c r="CS660" s="260"/>
      <c r="CV660" s="260"/>
      <c r="CY660" s="260"/>
      <c r="DB660" s="260"/>
    </row>
    <row r="661" spans="1:106" s="144" customFormat="1" x14ac:dyDescent="0.25">
      <c r="A661" s="181"/>
      <c r="C661" s="133"/>
      <c r="L661" s="260"/>
      <c r="X661" s="260"/>
      <c r="Y661" s="170"/>
      <c r="AJ661" s="260"/>
      <c r="BD661" s="260"/>
      <c r="BY661" s="260"/>
      <c r="CJ661" s="260"/>
      <c r="CN661" s="170"/>
      <c r="CP661" s="260"/>
      <c r="CS661" s="260"/>
      <c r="CV661" s="260"/>
      <c r="CY661" s="260"/>
      <c r="DB661" s="260"/>
    </row>
    <row r="662" spans="1:106" s="144" customFormat="1" x14ac:dyDescent="0.25">
      <c r="A662" s="181"/>
      <c r="C662" s="133"/>
      <c r="L662" s="260"/>
      <c r="X662" s="260"/>
      <c r="Y662" s="170"/>
      <c r="AJ662" s="260"/>
      <c r="BD662" s="260"/>
      <c r="BY662" s="260"/>
      <c r="CJ662" s="260"/>
      <c r="CN662" s="170"/>
      <c r="CP662" s="260"/>
      <c r="CS662" s="260"/>
      <c r="CV662" s="260"/>
      <c r="CY662" s="260"/>
      <c r="DB662" s="260"/>
    </row>
    <row r="663" spans="1:106" s="144" customFormat="1" x14ac:dyDescent="0.25">
      <c r="A663" s="181"/>
      <c r="C663" s="133"/>
      <c r="L663" s="260"/>
      <c r="X663" s="260"/>
      <c r="Y663" s="170"/>
      <c r="AJ663" s="260"/>
      <c r="BD663" s="260"/>
      <c r="BY663" s="260"/>
      <c r="CJ663" s="260"/>
      <c r="CN663" s="170"/>
      <c r="CP663" s="260"/>
      <c r="CS663" s="260"/>
      <c r="CV663" s="260"/>
      <c r="CY663" s="260"/>
      <c r="DB663" s="260"/>
    </row>
    <row r="664" spans="1:106" s="144" customFormat="1" x14ac:dyDescent="0.25">
      <c r="A664" s="181"/>
      <c r="C664" s="133"/>
      <c r="L664" s="260"/>
      <c r="X664" s="260"/>
      <c r="Y664" s="170"/>
      <c r="AJ664" s="260"/>
      <c r="BD664" s="260"/>
      <c r="BY664" s="260"/>
      <c r="CJ664" s="260"/>
      <c r="CN664" s="170"/>
      <c r="CP664" s="260"/>
      <c r="CS664" s="260"/>
      <c r="CV664" s="260"/>
      <c r="CY664" s="260"/>
      <c r="DB664" s="260"/>
    </row>
    <row r="665" spans="1:106" s="144" customFormat="1" x14ac:dyDescent="0.25">
      <c r="A665" s="181"/>
      <c r="C665" s="133"/>
      <c r="L665" s="260"/>
      <c r="X665" s="260"/>
      <c r="Y665" s="170"/>
      <c r="AJ665" s="260"/>
      <c r="BD665" s="260"/>
      <c r="BY665" s="260"/>
      <c r="CJ665" s="260"/>
      <c r="CN665" s="170"/>
      <c r="CP665" s="260"/>
      <c r="CS665" s="260"/>
      <c r="CV665" s="260"/>
      <c r="CY665" s="260"/>
      <c r="DB665" s="260"/>
    </row>
    <row r="666" spans="1:106" s="144" customFormat="1" x14ac:dyDescent="0.25">
      <c r="A666" s="181"/>
      <c r="C666" s="133"/>
      <c r="L666" s="260"/>
      <c r="X666" s="260"/>
      <c r="Y666" s="170"/>
      <c r="AJ666" s="260"/>
      <c r="BD666" s="260"/>
      <c r="BY666" s="260"/>
      <c r="CJ666" s="260"/>
      <c r="CN666" s="170"/>
      <c r="CP666" s="260"/>
      <c r="CS666" s="260"/>
      <c r="CV666" s="260"/>
      <c r="CY666" s="260"/>
      <c r="DB666" s="260"/>
    </row>
    <row r="667" spans="1:106" s="144" customFormat="1" x14ac:dyDescent="0.25">
      <c r="A667" s="181"/>
      <c r="C667" s="133"/>
      <c r="L667" s="260"/>
      <c r="X667" s="260"/>
      <c r="Y667" s="170"/>
      <c r="AJ667" s="260"/>
      <c r="BD667" s="260"/>
      <c r="BY667" s="260"/>
      <c r="CJ667" s="260"/>
      <c r="CN667" s="170"/>
      <c r="CP667" s="260"/>
      <c r="CS667" s="260"/>
      <c r="CV667" s="260"/>
      <c r="CY667" s="260"/>
      <c r="DB667" s="260"/>
    </row>
    <row r="668" spans="1:106" s="144" customFormat="1" x14ac:dyDescent="0.25">
      <c r="A668" s="181"/>
      <c r="C668" s="133"/>
      <c r="L668" s="260"/>
      <c r="X668" s="260"/>
      <c r="Y668" s="170"/>
      <c r="AJ668" s="260"/>
      <c r="BD668" s="260"/>
      <c r="BY668" s="260"/>
      <c r="CJ668" s="260"/>
      <c r="CN668" s="170"/>
      <c r="CP668" s="260"/>
      <c r="CS668" s="260"/>
      <c r="CV668" s="260"/>
      <c r="CY668" s="260"/>
      <c r="DB668" s="260"/>
    </row>
    <row r="669" spans="1:106" s="144" customFormat="1" x14ac:dyDescent="0.25">
      <c r="A669" s="181"/>
      <c r="C669" s="133"/>
      <c r="L669" s="260"/>
      <c r="X669" s="260"/>
      <c r="Y669" s="170"/>
      <c r="AJ669" s="260"/>
      <c r="BD669" s="260"/>
      <c r="BY669" s="260"/>
      <c r="CJ669" s="260"/>
      <c r="CN669" s="170"/>
      <c r="CP669" s="260"/>
      <c r="CS669" s="260"/>
      <c r="CV669" s="260"/>
      <c r="CY669" s="260"/>
      <c r="DB669" s="260"/>
    </row>
    <row r="670" spans="1:106" s="144" customFormat="1" x14ac:dyDescent="0.25">
      <c r="A670" s="181"/>
      <c r="C670" s="133"/>
      <c r="L670" s="260"/>
      <c r="X670" s="260"/>
      <c r="Y670" s="170"/>
      <c r="AJ670" s="260"/>
      <c r="BD670" s="260"/>
      <c r="BY670" s="260"/>
      <c r="CJ670" s="260"/>
      <c r="CN670" s="170"/>
      <c r="CP670" s="260"/>
      <c r="CS670" s="260"/>
      <c r="CV670" s="260"/>
      <c r="CY670" s="260"/>
      <c r="DB670" s="260"/>
    </row>
    <row r="671" spans="1:106" s="144" customFormat="1" x14ac:dyDescent="0.25">
      <c r="A671" s="181"/>
      <c r="C671" s="133"/>
      <c r="L671" s="260"/>
      <c r="X671" s="260"/>
      <c r="Y671" s="170"/>
      <c r="AJ671" s="260"/>
      <c r="BD671" s="260"/>
      <c r="BY671" s="260"/>
      <c r="CJ671" s="260"/>
      <c r="CN671" s="170"/>
      <c r="CP671" s="260"/>
      <c r="CS671" s="260"/>
      <c r="CV671" s="260"/>
      <c r="CY671" s="260"/>
      <c r="DB671" s="260"/>
    </row>
    <row r="672" spans="1:106" s="144" customFormat="1" x14ac:dyDescent="0.25">
      <c r="A672" s="181"/>
      <c r="C672" s="133"/>
      <c r="L672" s="260"/>
      <c r="X672" s="260"/>
      <c r="Y672" s="170"/>
      <c r="AJ672" s="260"/>
      <c r="BD672" s="260"/>
      <c r="BY672" s="260"/>
      <c r="CJ672" s="260"/>
      <c r="CN672" s="170"/>
      <c r="CP672" s="260"/>
      <c r="CS672" s="260"/>
      <c r="CV672" s="260"/>
      <c r="CY672" s="260"/>
      <c r="DB672" s="260"/>
    </row>
    <row r="673" spans="1:106" s="144" customFormat="1" x14ac:dyDescent="0.25">
      <c r="A673" s="181"/>
      <c r="C673" s="133"/>
      <c r="L673" s="260"/>
      <c r="X673" s="260"/>
      <c r="Y673" s="170"/>
      <c r="AJ673" s="260"/>
      <c r="BD673" s="260"/>
      <c r="BY673" s="260"/>
      <c r="CJ673" s="260"/>
      <c r="CN673" s="170"/>
      <c r="CP673" s="260"/>
      <c r="CS673" s="260"/>
      <c r="CV673" s="260"/>
      <c r="CY673" s="260"/>
      <c r="DB673" s="260"/>
    </row>
    <row r="674" spans="1:106" s="144" customFormat="1" x14ac:dyDescent="0.25">
      <c r="A674" s="181"/>
      <c r="C674" s="133"/>
      <c r="L674" s="260"/>
      <c r="X674" s="260"/>
      <c r="Y674" s="170"/>
      <c r="AJ674" s="260"/>
      <c r="BD674" s="260"/>
      <c r="BY674" s="260"/>
      <c r="CJ674" s="260"/>
      <c r="CN674" s="170"/>
      <c r="CP674" s="260"/>
      <c r="CS674" s="260"/>
      <c r="CV674" s="260"/>
      <c r="CY674" s="260"/>
      <c r="DB674" s="260"/>
    </row>
    <row r="675" spans="1:106" s="144" customFormat="1" x14ac:dyDescent="0.25">
      <c r="A675" s="181"/>
      <c r="C675" s="133"/>
      <c r="L675" s="260"/>
      <c r="X675" s="260"/>
      <c r="Y675" s="170"/>
      <c r="AJ675" s="260"/>
      <c r="BD675" s="260"/>
      <c r="BY675" s="260"/>
      <c r="CJ675" s="260"/>
      <c r="CN675" s="170"/>
      <c r="CP675" s="260"/>
      <c r="CS675" s="260"/>
      <c r="CV675" s="260"/>
      <c r="CY675" s="260"/>
      <c r="DB675" s="260"/>
    </row>
    <row r="676" spans="1:106" s="144" customFormat="1" x14ac:dyDescent="0.25">
      <c r="A676" s="181"/>
      <c r="C676" s="133"/>
      <c r="L676" s="260"/>
      <c r="X676" s="260"/>
      <c r="Y676" s="170"/>
      <c r="AJ676" s="260"/>
      <c r="BD676" s="260"/>
      <c r="BY676" s="260"/>
      <c r="CJ676" s="260"/>
      <c r="CN676" s="170"/>
      <c r="CP676" s="260"/>
      <c r="CS676" s="260"/>
      <c r="CV676" s="260"/>
      <c r="CY676" s="260"/>
      <c r="DB676" s="260"/>
    </row>
    <row r="677" spans="1:106" s="144" customFormat="1" x14ac:dyDescent="0.25">
      <c r="A677" s="181"/>
      <c r="C677" s="133"/>
      <c r="L677" s="260"/>
      <c r="X677" s="260"/>
      <c r="Y677" s="170"/>
      <c r="AJ677" s="260"/>
      <c r="BD677" s="260"/>
      <c r="BY677" s="260"/>
      <c r="CJ677" s="260"/>
      <c r="CN677" s="170"/>
      <c r="CP677" s="260"/>
      <c r="CS677" s="260"/>
      <c r="CV677" s="260"/>
      <c r="CY677" s="260"/>
      <c r="DB677" s="260"/>
    </row>
    <row r="678" spans="1:106" s="144" customFormat="1" x14ac:dyDescent="0.25">
      <c r="A678" s="181"/>
      <c r="C678" s="133"/>
      <c r="L678" s="260"/>
      <c r="X678" s="260"/>
      <c r="Y678" s="170"/>
      <c r="AJ678" s="260"/>
      <c r="BD678" s="260"/>
      <c r="BY678" s="260"/>
      <c r="CJ678" s="260"/>
      <c r="CN678" s="170"/>
      <c r="CP678" s="260"/>
      <c r="CS678" s="260"/>
      <c r="CV678" s="260"/>
      <c r="CY678" s="260"/>
      <c r="DB678" s="260"/>
    </row>
    <row r="679" spans="1:106" s="144" customFormat="1" x14ac:dyDescent="0.25">
      <c r="A679" s="181"/>
      <c r="C679" s="133"/>
      <c r="L679" s="260"/>
      <c r="X679" s="260"/>
      <c r="Y679" s="170"/>
      <c r="AJ679" s="260"/>
      <c r="BD679" s="260"/>
      <c r="BY679" s="260"/>
      <c r="CJ679" s="260"/>
      <c r="CN679" s="170"/>
      <c r="CP679" s="260"/>
      <c r="CS679" s="260"/>
      <c r="CV679" s="260"/>
      <c r="CY679" s="260"/>
      <c r="DB679" s="260"/>
    </row>
    <row r="680" spans="1:106" s="144" customFormat="1" x14ac:dyDescent="0.25">
      <c r="A680" s="181"/>
      <c r="C680" s="133"/>
      <c r="L680" s="260"/>
      <c r="X680" s="260"/>
      <c r="Y680" s="170"/>
      <c r="AJ680" s="260"/>
      <c r="BD680" s="260"/>
      <c r="BY680" s="260"/>
      <c r="CJ680" s="260"/>
      <c r="CN680" s="170"/>
      <c r="CP680" s="260"/>
      <c r="CS680" s="260"/>
      <c r="CV680" s="260"/>
      <c r="CY680" s="260"/>
      <c r="DB680" s="260"/>
    </row>
    <row r="681" spans="1:106" s="144" customFormat="1" x14ac:dyDescent="0.25">
      <c r="A681" s="181"/>
      <c r="C681" s="133"/>
      <c r="L681" s="260"/>
      <c r="X681" s="260"/>
      <c r="Y681" s="170"/>
      <c r="AJ681" s="260"/>
      <c r="BD681" s="260"/>
      <c r="BY681" s="260"/>
      <c r="CJ681" s="260"/>
      <c r="CN681" s="170"/>
      <c r="CP681" s="260"/>
      <c r="CS681" s="260"/>
      <c r="CV681" s="260"/>
      <c r="CY681" s="260"/>
      <c r="DB681" s="260"/>
    </row>
    <row r="682" spans="1:106" s="144" customFormat="1" x14ac:dyDescent="0.25">
      <c r="A682" s="181"/>
      <c r="C682" s="133"/>
      <c r="L682" s="260"/>
      <c r="X682" s="260"/>
      <c r="Y682" s="170"/>
      <c r="AJ682" s="260"/>
      <c r="BD682" s="260"/>
      <c r="BY682" s="260"/>
      <c r="CJ682" s="260"/>
      <c r="CN682" s="170"/>
      <c r="CP682" s="260"/>
      <c r="CS682" s="260"/>
      <c r="CV682" s="260"/>
      <c r="CY682" s="260"/>
      <c r="DB682" s="260"/>
    </row>
    <row r="683" spans="1:106" s="144" customFormat="1" x14ac:dyDescent="0.25">
      <c r="A683" s="181"/>
      <c r="C683" s="133"/>
      <c r="L683" s="260"/>
      <c r="X683" s="260"/>
      <c r="Y683" s="170"/>
      <c r="AJ683" s="260"/>
      <c r="BD683" s="260"/>
      <c r="BY683" s="260"/>
      <c r="CJ683" s="260"/>
      <c r="CN683" s="170"/>
      <c r="CP683" s="260"/>
      <c r="CS683" s="260"/>
      <c r="CV683" s="260"/>
      <c r="CY683" s="260"/>
      <c r="DB683" s="260"/>
    </row>
    <row r="684" spans="1:106" s="144" customFormat="1" x14ac:dyDescent="0.25">
      <c r="A684" s="181"/>
      <c r="C684" s="133"/>
      <c r="L684" s="260"/>
      <c r="X684" s="260"/>
      <c r="Y684" s="170"/>
      <c r="AJ684" s="260"/>
      <c r="BD684" s="260"/>
      <c r="BY684" s="260"/>
      <c r="CJ684" s="260"/>
      <c r="CN684" s="170"/>
      <c r="CP684" s="260"/>
      <c r="CS684" s="260"/>
      <c r="CV684" s="260"/>
      <c r="CY684" s="260"/>
      <c r="DB684" s="260"/>
    </row>
    <row r="685" spans="1:106" s="144" customFormat="1" x14ac:dyDescent="0.25">
      <c r="A685" s="181"/>
      <c r="C685" s="133"/>
      <c r="L685" s="260"/>
      <c r="X685" s="260"/>
      <c r="Y685" s="170"/>
      <c r="AJ685" s="260"/>
      <c r="BD685" s="260"/>
      <c r="BY685" s="260"/>
      <c r="CJ685" s="260"/>
      <c r="CN685" s="170"/>
      <c r="CP685" s="260"/>
      <c r="CS685" s="260"/>
      <c r="CV685" s="260"/>
      <c r="CY685" s="260"/>
      <c r="DB685" s="260"/>
    </row>
    <row r="686" spans="1:106" s="144" customFormat="1" x14ac:dyDescent="0.25">
      <c r="A686" s="181"/>
      <c r="C686" s="133"/>
      <c r="L686" s="260"/>
      <c r="X686" s="260"/>
      <c r="Y686" s="170"/>
      <c r="AJ686" s="260"/>
      <c r="BD686" s="260"/>
      <c r="BY686" s="260"/>
      <c r="CJ686" s="260"/>
      <c r="CN686" s="170"/>
      <c r="CP686" s="260"/>
      <c r="CS686" s="260"/>
      <c r="CV686" s="260"/>
      <c r="CY686" s="260"/>
      <c r="DB686" s="260"/>
    </row>
    <row r="687" spans="1:106" s="144" customFormat="1" x14ac:dyDescent="0.25">
      <c r="A687" s="181"/>
      <c r="C687" s="133"/>
      <c r="L687" s="260"/>
      <c r="X687" s="260"/>
      <c r="Y687" s="170"/>
      <c r="AJ687" s="260"/>
      <c r="BD687" s="260"/>
      <c r="BY687" s="260"/>
      <c r="CJ687" s="260"/>
      <c r="CN687" s="170"/>
      <c r="CP687" s="260"/>
      <c r="CS687" s="260"/>
      <c r="CV687" s="260"/>
      <c r="CY687" s="260"/>
      <c r="DB687" s="260"/>
    </row>
    <row r="688" spans="1:106" s="144" customFormat="1" x14ac:dyDescent="0.25">
      <c r="A688" s="181"/>
      <c r="C688" s="133"/>
      <c r="L688" s="260"/>
      <c r="X688" s="260"/>
      <c r="Y688" s="170"/>
      <c r="AJ688" s="260"/>
      <c r="BD688" s="260"/>
      <c r="BY688" s="260"/>
      <c r="CJ688" s="260"/>
      <c r="CN688" s="170"/>
      <c r="CP688" s="260"/>
      <c r="CS688" s="260"/>
      <c r="CV688" s="260"/>
      <c r="CY688" s="260"/>
      <c r="DB688" s="260"/>
    </row>
    <row r="689" spans="1:106" s="144" customFormat="1" x14ac:dyDescent="0.25">
      <c r="A689" s="181"/>
      <c r="C689" s="133"/>
      <c r="L689" s="260"/>
      <c r="X689" s="260"/>
      <c r="Y689" s="170"/>
      <c r="AJ689" s="260"/>
      <c r="BD689" s="260"/>
      <c r="BY689" s="260"/>
      <c r="CJ689" s="260"/>
      <c r="CN689" s="170"/>
      <c r="CP689" s="260"/>
      <c r="CS689" s="260"/>
      <c r="CV689" s="260"/>
      <c r="CY689" s="260"/>
      <c r="DB689" s="260"/>
    </row>
    <row r="690" spans="1:106" s="144" customFormat="1" x14ac:dyDescent="0.25">
      <c r="A690" s="181"/>
      <c r="C690" s="133"/>
      <c r="L690" s="260"/>
      <c r="X690" s="260"/>
      <c r="Y690" s="170"/>
      <c r="AJ690" s="260"/>
      <c r="BD690" s="260"/>
      <c r="BY690" s="260"/>
      <c r="CJ690" s="260"/>
      <c r="CN690" s="170"/>
      <c r="CP690" s="260"/>
      <c r="CS690" s="260"/>
      <c r="CV690" s="260"/>
      <c r="CY690" s="260"/>
      <c r="DB690" s="260"/>
    </row>
    <row r="691" spans="1:106" s="144" customFormat="1" x14ac:dyDescent="0.25">
      <c r="A691" s="181"/>
      <c r="C691" s="133"/>
      <c r="L691" s="260"/>
      <c r="X691" s="260"/>
      <c r="Y691" s="170"/>
      <c r="AJ691" s="260"/>
      <c r="BD691" s="260"/>
      <c r="BY691" s="260"/>
      <c r="CJ691" s="260"/>
      <c r="CN691" s="170"/>
      <c r="CP691" s="260"/>
      <c r="CS691" s="260"/>
      <c r="CV691" s="260"/>
      <c r="CY691" s="260"/>
      <c r="DB691" s="260"/>
    </row>
    <row r="692" spans="1:106" s="144" customFormat="1" x14ac:dyDescent="0.25">
      <c r="A692" s="181"/>
      <c r="C692" s="133"/>
      <c r="L692" s="260"/>
      <c r="X692" s="260"/>
      <c r="Y692" s="170"/>
      <c r="AJ692" s="260"/>
      <c r="BD692" s="260"/>
      <c r="BY692" s="260"/>
      <c r="CJ692" s="260"/>
      <c r="CN692" s="170"/>
      <c r="CP692" s="260"/>
      <c r="CS692" s="260"/>
      <c r="CV692" s="260"/>
      <c r="CY692" s="260"/>
      <c r="DB692" s="260"/>
    </row>
    <row r="693" spans="1:106" s="144" customFormat="1" x14ac:dyDescent="0.25">
      <c r="A693" s="181"/>
      <c r="C693" s="133"/>
      <c r="L693" s="260"/>
      <c r="X693" s="260"/>
      <c r="Y693" s="170"/>
      <c r="AJ693" s="260"/>
      <c r="BD693" s="260"/>
      <c r="BY693" s="260"/>
      <c r="CJ693" s="260"/>
      <c r="CN693" s="170"/>
      <c r="CP693" s="260"/>
      <c r="CS693" s="260"/>
      <c r="CV693" s="260"/>
      <c r="CY693" s="260"/>
      <c r="DB693" s="260"/>
    </row>
    <row r="694" spans="1:106" s="144" customFormat="1" x14ac:dyDescent="0.25">
      <c r="A694" s="181"/>
      <c r="C694" s="133"/>
      <c r="L694" s="260"/>
      <c r="X694" s="260"/>
      <c r="Y694" s="170"/>
      <c r="AJ694" s="260"/>
      <c r="BD694" s="260"/>
      <c r="BY694" s="260"/>
      <c r="CJ694" s="260"/>
      <c r="CN694" s="170"/>
      <c r="CP694" s="260"/>
      <c r="CS694" s="260"/>
      <c r="CV694" s="260"/>
      <c r="CY694" s="260"/>
      <c r="DB694" s="260"/>
    </row>
    <row r="695" spans="1:106" s="144" customFormat="1" x14ac:dyDescent="0.25">
      <c r="A695" s="181"/>
      <c r="C695" s="133"/>
      <c r="L695" s="260"/>
      <c r="X695" s="260"/>
      <c r="Y695" s="170"/>
      <c r="AJ695" s="260"/>
      <c r="BD695" s="260"/>
      <c r="BY695" s="260"/>
      <c r="CJ695" s="260"/>
      <c r="CN695" s="170"/>
      <c r="CP695" s="260"/>
      <c r="CS695" s="260"/>
      <c r="CV695" s="260"/>
      <c r="CY695" s="260"/>
      <c r="DB695" s="260"/>
    </row>
    <row r="696" spans="1:106" s="144" customFormat="1" x14ac:dyDescent="0.25">
      <c r="A696" s="181"/>
      <c r="C696" s="133"/>
      <c r="L696" s="260"/>
      <c r="X696" s="260"/>
      <c r="Y696" s="170"/>
      <c r="AJ696" s="260"/>
      <c r="BD696" s="260"/>
      <c r="BY696" s="260"/>
      <c r="CJ696" s="260"/>
      <c r="CN696" s="170"/>
      <c r="CP696" s="260"/>
      <c r="CS696" s="260"/>
      <c r="CV696" s="260"/>
      <c r="CY696" s="260"/>
      <c r="DB696" s="260"/>
    </row>
    <row r="697" spans="1:106" s="144" customFormat="1" x14ac:dyDescent="0.25">
      <c r="A697" s="181"/>
      <c r="C697" s="133"/>
      <c r="L697" s="260"/>
      <c r="X697" s="260"/>
      <c r="Y697" s="170"/>
      <c r="AJ697" s="260"/>
      <c r="BD697" s="260"/>
      <c r="BY697" s="260"/>
      <c r="CJ697" s="260"/>
      <c r="CN697" s="170"/>
      <c r="CP697" s="260"/>
      <c r="CS697" s="260"/>
      <c r="CV697" s="260"/>
      <c r="CY697" s="260"/>
      <c r="DB697" s="260"/>
    </row>
    <row r="698" spans="1:106" s="144" customFormat="1" x14ac:dyDescent="0.25">
      <c r="A698" s="181"/>
      <c r="C698" s="133"/>
      <c r="L698" s="260"/>
      <c r="X698" s="260"/>
      <c r="Y698" s="170"/>
      <c r="AJ698" s="260"/>
      <c r="BD698" s="260"/>
      <c r="BY698" s="260"/>
      <c r="CJ698" s="260"/>
      <c r="CN698" s="170"/>
      <c r="CP698" s="260"/>
      <c r="CS698" s="260"/>
      <c r="CV698" s="260"/>
      <c r="CY698" s="260"/>
      <c r="DB698" s="260"/>
    </row>
    <row r="699" spans="1:106" s="144" customFormat="1" x14ac:dyDescent="0.25">
      <c r="A699" s="181"/>
      <c r="C699" s="133"/>
      <c r="L699" s="260"/>
      <c r="X699" s="260"/>
      <c r="Y699" s="170"/>
      <c r="AJ699" s="260"/>
      <c r="BD699" s="260"/>
      <c r="BY699" s="260"/>
      <c r="CJ699" s="260"/>
      <c r="CN699" s="170"/>
      <c r="CP699" s="260"/>
      <c r="CS699" s="260"/>
      <c r="CV699" s="260"/>
      <c r="CY699" s="260"/>
      <c r="DB699" s="260"/>
    </row>
    <row r="700" spans="1:106" s="144" customFormat="1" x14ac:dyDescent="0.25">
      <c r="A700" s="181"/>
      <c r="C700" s="133"/>
      <c r="L700" s="260"/>
      <c r="X700" s="260"/>
      <c r="Y700" s="170"/>
      <c r="AJ700" s="260"/>
      <c r="BD700" s="260"/>
      <c r="BY700" s="260"/>
      <c r="CJ700" s="260"/>
      <c r="CN700" s="170"/>
      <c r="CP700" s="260"/>
      <c r="CS700" s="260"/>
      <c r="CV700" s="260"/>
      <c r="CY700" s="260"/>
      <c r="DB700" s="260"/>
    </row>
    <row r="701" spans="1:106" s="144" customFormat="1" x14ac:dyDescent="0.25">
      <c r="A701" s="181"/>
      <c r="C701" s="133"/>
      <c r="L701" s="260"/>
      <c r="X701" s="260"/>
      <c r="Y701" s="170"/>
      <c r="AJ701" s="260"/>
      <c r="BD701" s="260"/>
      <c r="BY701" s="260"/>
      <c r="CJ701" s="260"/>
      <c r="CN701" s="170"/>
      <c r="CP701" s="260"/>
      <c r="CS701" s="260"/>
      <c r="CV701" s="260"/>
      <c r="CY701" s="260"/>
      <c r="DB701" s="260"/>
    </row>
    <row r="702" spans="1:106" s="144" customFormat="1" x14ac:dyDescent="0.25">
      <c r="A702" s="181"/>
      <c r="C702" s="133"/>
      <c r="L702" s="260"/>
      <c r="X702" s="260"/>
      <c r="Y702" s="170"/>
      <c r="AJ702" s="260"/>
      <c r="BD702" s="260"/>
      <c r="BY702" s="260"/>
      <c r="CJ702" s="260"/>
      <c r="CN702" s="170"/>
      <c r="CP702" s="260"/>
      <c r="CS702" s="260"/>
      <c r="CV702" s="260"/>
      <c r="CY702" s="260"/>
      <c r="DB702" s="260"/>
    </row>
    <row r="703" spans="1:106" s="144" customFormat="1" x14ac:dyDescent="0.25">
      <c r="A703" s="181"/>
      <c r="C703" s="133"/>
      <c r="L703" s="260"/>
      <c r="X703" s="260"/>
      <c r="Y703" s="170"/>
      <c r="AJ703" s="260"/>
      <c r="BD703" s="260"/>
      <c r="BY703" s="260"/>
      <c r="CJ703" s="260"/>
      <c r="CN703" s="170"/>
      <c r="CP703" s="260"/>
      <c r="CS703" s="260"/>
      <c r="CV703" s="260"/>
      <c r="CY703" s="260"/>
      <c r="DB703" s="260"/>
    </row>
    <row r="704" spans="1:106" s="144" customFormat="1" x14ac:dyDescent="0.25">
      <c r="A704" s="181"/>
      <c r="C704" s="133"/>
      <c r="L704" s="260"/>
      <c r="X704" s="260"/>
      <c r="Y704" s="170"/>
      <c r="AJ704" s="260"/>
      <c r="BD704" s="260"/>
      <c r="BY704" s="260"/>
      <c r="CJ704" s="260"/>
      <c r="CN704" s="170"/>
      <c r="CP704" s="260"/>
      <c r="CS704" s="260"/>
      <c r="CV704" s="260"/>
      <c r="CY704" s="260"/>
      <c r="DB704" s="260"/>
    </row>
    <row r="705" spans="1:106" s="144" customFormat="1" x14ac:dyDescent="0.25">
      <c r="A705" s="181"/>
      <c r="C705" s="133"/>
      <c r="L705" s="260"/>
      <c r="X705" s="260"/>
      <c r="Y705" s="170"/>
      <c r="AJ705" s="260"/>
      <c r="BD705" s="260"/>
      <c r="BY705" s="260"/>
      <c r="CJ705" s="260"/>
      <c r="CN705" s="170"/>
      <c r="CP705" s="260"/>
      <c r="CS705" s="260"/>
      <c r="CV705" s="260"/>
      <c r="CY705" s="260"/>
      <c r="DB705" s="260"/>
    </row>
    <row r="706" spans="1:106" s="144" customFormat="1" x14ac:dyDescent="0.25">
      <c r="A706" s="181"/>
      <c r="C706" s="133"/>
      <c r="L706" s="260"/>
      <c r="X706" s="260"/>
      <c r="Y706" s="170"/>
      <c r="AJ706" s="260"/>
      <c r="BD706" s="260"/>
      <c r="BY706" s="260"/>
      <c r="CJ706" s="260"/>
      <c r="CN706" s="170"/>
      <c r="CP706" s="260"/>
      <c r="CS706" s="260"/>
      <c r="CV706" s="260"/>
      <c r="CY706" s="260"/>
      <c r="DB706" s="260"/>
    </row>
    <row r="707" spans="1:106" s="144" customFormat="1" x14ac:dyDescent="0.25">
      <c r="A707" s="181"/>
      <c r="C707" s="133"/>
      <c r="L707" s="260"/>
      <c r="X707" s="260"/>
      <c r="Y707" s="170"/>
      <c r="AJ707" s="260"/>
      <c r="BD707" s="260"/>
      <c r="BY707" s="260"/>
      <c r="CJ707" s="260"/>
      <c r="CN707" s="170"/>
      <c r="CP707" s="260"/>
      <c r="CS707" s="260"/>
      <c r="CV707" s="260"/>
      <c r="CY707" s="260"/>
      <c r="DB707" s="260"/>
    </row>
    <row r="708" spans="1:106" s="144" customFormat="1" x14ac:dyDescent="0.25">
      <c r="A708" s="181"/>
      <c r="C708" s="133"/>
      <c r="L708" s="260"/>
      <c r="X708" s="260"/>
      <c r="Y708" s="170"/>
      <c r="AJ708" s="260"/>
      <c r="BD708" s="260"/>
      <c r="BY708" s="260"/>
      <c r="CJ708" s="260"/>
      <c r="CN708" s="170"/>
      <c r="CP708" s="260"/>
      <c r="CS708" s="260"/>
      <c r="CV708" s="260"/>
      <c r="CY708" s="260"/>
      <c r="DB708" s="260"/>
    </row>
    <row r="709" spans="1:106" s="144" customFormat="1" x14ac:dyDescent="0.25">
      <c r="A709" s="181"/>
      <c r="C709" s="133"/>
      <c r="L709" s="260"/>
      <c r="X709" s="260"/>
      <c r="Y709" s="170"/>
      <c r="AJ709" s="260"/>
      <c r="BD709" s="260"/>
      <c r="BY709" s="260"/>
      <c r="CJ709" s="260"/>
      <c r="CN709" s="170"/>
      <c r="CP709" s="260"/>
      <c r="CS709" s="260"/>
      <c r="CV709" s="260"/>
      <c r="CY709" s="260"/>
      <c r="DB709" s="260"/>
    </row>
    <row r="710" spans="1:106" s="144" customFormat="1" x14ac:dyDescent="0.25">
      <c r="A710" s="181"/>
      <c r="C710" s="133"/>
      <c r="L710" s="260"/>
      <c r="X710" s="260"/>
      <c r="Y710" s="170"/>
      <c r="AJ710" s="260"/>
      <c r="BD710" s="260"/>
      <c r="BY710" s="260"/>
      <c r="CJ710" s="260"/>
      <c r="CN710" s="170"/>
      <c r="CP710" s="260"/>
      <c r="CS710" s="260"/>
      <c r="CV710" s="260"/>
      <c r="CY710" s="260"/>
      <c r="DB710" s="260"/>
    </row>
    <row r="711" spans="1:106" s="144" customFormat="1" x14ac:dyDescent="0.25">
      <c r="A711" s="181"/>
      <c r="C711" s="133"/>
      <c r="L711" s="260"/>
      <c r="X711" s="260"/>
      <c r="Y711" s="170"/>
      <c r="AJ711" s="260"/>
      <c r="BD711" s="260"/>
      <c r="BY711" s="260"/>
      <c r="CJ711" s="260"/>
      <c r="CN711" s="170"/>
      <c r="CP711" s="260"/>
      <c r="CS711" s="260"/>
      <c r="CV711" s="260"/>
      <c r="CY711" s="260"/>
      <c r="DB711" s="260"/>
    </row>
    <row r="712" spans="1:106" s="144" customFormat="1" x14ac:dyDescent="0.25">
      <c r="A712" s="181"/>
      <c r="C712" s="133"/>
      <c r="L712" s="260"/>
      <c r="X712" s="260"/>
      <c r="Y712" s="170"/>
      <c r="AJ712" s="260"/>
      <c r="BD712" s="260"/>
      <c r="BY712" s="260"/>
      <c r="CJ712" s="260"/>
      <c r="CN712" s="170"/>
      <c r="CP712" s="260"/>
      <c r="CS712" s="260"/>
      <c r="CV712" s="260"/>
      <c r="CY712" s="260"/>
      <c r="DB712" s="260"/>
    </row>
    <row r="713" spans="1:106" s="144" customFormat="1" x14ac:dyDescent="0.25">
      <c r="A713" s="181"/>
      <c r="C713" s="133"/>
      <c r="L713" s="260"/>
      <c r="X713" s="260"/>
      <c r="Y713" s="170"/>
      <c r="AJ713" s="260"/>
      <c r="BD713" s="260"/>
      <c r="BY713" s="260"/>
      <c r="CJ713" s="260"/>
      <c r="CN713" s="170"/>
      <c r="CP713" s="260"/>
      <c r="CS713" s="260"/>
      <c r="CV713" s="260"/>
      <c r="CY713" s="260"/>
      <c r="DB713" s="260"/>
    </row>
    <row r="714" spans="1:106" s="144" customFormat="1" x14ac:dyDescent="0.25">
      <c r="A714" s="181"/>
      <c r="C714" s="133"/>
      <c r="L714" s="260"/>
      <c r="X714" s="260"/>
      <c r="Y714" s="170"/>
      <c r="AJ714" s="260"/>
      <c r="BD714" s="260"/>
      <c r="BY714" s="260"/>
      <c r="CJ714" s="260"/>
      <c r="CN714" s="170"/>
      <c r="CP714" s="260"/>
      <c r="CS714" s="260"/>
      <c r="CV714" s="260"/>
      <c r="CY714" s="260"/>
      <c r="DB714" s="260"/>
    </row>
    <row r="715" spans="1:106" s="144" customFormat="1" x14ac:dyDescent="0.25">
      <c r="A715" s="181"/>
      <c r="C715" s="133"/>
      <c r="L715" s="260"/>
      <c r="X715" s="260"/>
      <c r="Y715" s="170"/>
      <c r="AJ715" s="260"/>
      <c r="BD715" s="260"/>
      <c r="BY715" s="260"/>
      <c r="CJ715" s="260"/>
      <c r="CN715" s="170"/>
      <c r="CP715" s="260"/>
      <c r="CS715" s="260"/>
      <c r="CV715" s="260"/>
      <c r="CY715" s="260"/>
      <c r="DB715" s="260"/>
    </row>
    <row r="716" spans="1:106" s="144" customFormat="1" x14ac:dyDescent="0.25">
      <c r="A716" s="181"/>
      <c r="C716" s="133"/>
      <c r="L716" s="260"/>
      <c r="X716" s="260"/>
      <c r="Y716" s="170"/>
      <c r="AJ716" s="260"/>
      <c r="BD716" s="260"/>
      <c r="BY716" s="260"/>
      <c r="CJ716" s="260"/>
      <c r="CN716" s="170"/>
      <c r="CP716" s="260"/>
      <c r="CS716" s="260"/>
      <c r="CV716" s="260"/>
      <c r="CY716" s="260"/>
      <c r="DB716" s="260"/>
    </row>
    <row r="717" spans="1:106" s="144" customFormat="1" x14ac:dyDescent="0.25">
      <c r="A717" s="181"/>
      <c r="C717" s="133"/>
      <c r="L717" s="260"/>
      <c r="X717" s="260"/>
      <c r="Y717" s="170"/>
      <c r="AJ717" s="260"/>
      <c r="BD717" s="260"/>
      <c r="BY717" s="260"/>
      <c r="CJ717" s="260"/>
      <c r="CN717" s="170"/>
      <c r="CP717" s="260"/>
      <c r="CS717" s="260"/>
      <c r="CV717" s="260"/>
      <c r="CY717" s="260"/>
      <c r="DB717" s="260"/>
    </row>
    <row r="718" spans="1:106" s="144" customFormat="1" x14ac:dyDescent="0.25">
      <c r="A718" s="181"/>
      <c r="C718" s="133"/>
      <c r="L718" s="260"/>
      <c r="X718" s="260"/>
      <c r="Y718" s="170"/>
      <c r="AJ718" s="260"/>
      <c r="BD718" s="260"/>
      <c r="BY718" s="260"/>
      <c r="CJ718" s="260"/>
      <c r="CN718" s="170"/>
      <c r="CP718" s="260"/>
      <c r="CS718" s="260"/>
      <c r="CV718" s="260"/>
      <c r="CY718" s="260"/>
      <c r="DB718" s="260"/>
    </row>
    <row r="719" spans="1:106" s="144" customFormat="1" x14ac:dyDescent="0.25">
      <c r="A719" s="181"/>
      <c r="C719" s="133"/>
      <c r="L719" s="260"/>
      <c r="X719" s="260"/>
      <c r="Y719" s="170"/>
      <c r="AJ719" s="260"/>
      <c r="BD719" s="260"/>
      <c r="BY719" s="260"/>
      <c r="CJ719" s="260"/>
      <c r="CN719" s="170"/>
      <c r="CP719" s="260"/>
      <c r="CS719" s="260"/>
      <c r="CV719" s="260"/>
      <c r="CY719" s="260"/>
      <c r="DB719" s="260"/>
    </row>
    <row r="720" spans="1:106" s="144" customFormat="1" x14ac:dyDescent="0.25">
      <c r="A720" s="181"/>
      <c r="C720" s="133"/>
      <c r="L720" s="260"/>
      <c r="X720" s="260"/>
      <c r="Y720" s="170"/>
      <c r="AJ720" s="260"/>
      <c r="BD720" s="260"/>
      <c r="BY720" s="260"/>
      <c r="CJ720" s="260"/>
      <c r="CN720" s="170"/>
      <c r="CP720" s="260"/>
      <c r="CS720" s="260"/>
      <c r="CV720" s="260"/>
      <c r="CY720" s="260"/>
      <c r="DB720" s="260"/>
    </row>
    <row r="721" spans="1:106" s="144" customFormat="1" x14ac:dyDescent="0.25">
      <c r="A721" s="181"/>
      <c r="C721" s="133"/>
      <c r="L721" s="260"/>
      <c r="X721" s="260"/>
      <c r="Y721" s="170"/>
      <c r="AJ721" s="260"/>
      <c r="BD721" s="260"/>
      <c r="BY721" s="260"/>
      <c r="CJ721" s="260"/>
      <c r="CN721" s="170"/>
      <c r="CP721" s="260"/>
      <c r="CS721" s="260"/>
      <c r="CV721" s="260"/>
      <c r="CY721" s="260"/>
      <c r="DB721" s="260"/>
    </row>
    <row r="722" spans="1:106" s="144" customFormat="1" x14ac:dyDescent="0.25">
      <c r="A722" s="181"/>
      <c r="C722" s="133"/>
      <c r="L722" s="260"/>
      <c r="X722" s="260"/>
      <c r="Y722" s="170"/>
      <c r="AJ722" s="260"/>
      <c r="BD722" s="260"/>
      <c r="BY722" s="260"/>
      <c r="CJ722" s="260"/>
      <c r="CN722" s="170"/>
      <c r="CP722" s="260"/>
      <c r="CS722" s="260"/>
      <c r="CV722" s="260"/>
      <c r="CY722" s="260"/>
      <c r="DB722" s="260"/>
    </row>
    <row r="723" spans="1:106" s="144" customFormat="1" x14ac:dyDescent="0.25">
      <c r="A723" s="181"/>
      <c r="C723" s="133"/>
      <c r="L723" s="260"/>
      <c r="X723" s="260"/>
      <c r="Y723" s="170"/>
      <c r="AJ723" s="260"/>
      <c r="BD723" s="260"/>
      <c r="BY723" s="260"/>
      <c r="CJ723" s="260"/>
      <c r="CN723" s="170"/>
      <c r="CP723" s="260"/>
      <c r="CS723" s="260"/>
      <c r="CV723" s="260"/>
      <c r="CY723" s="260"/>
      <c r="DB723" s="260"/>
    </row>
    <row r="724" spans="1:106" s="144" customFormat="1" x14ac:dyDescent="0.25">
      <c r="A724" s="181"/>
      <c r="C724" s="133"/>
      <c r="L724" s="260"/>
      <c r="X724" s="260"/>
      <c r="Y724" s="170"/>
      <c r="AJ724" s="260"/>
      <c r="BD724" s="260"/>
      <c r="BY724" s="260"/>
      <c r="CJ724" s="260"/>
      <c r="CN724" s="170"/>
      <c r="CP724" s="260"/>
      <c r="CS724" s="260"/>
      <c r="CV724" s="260"/>
      <c r="CY724" s="260"/>
      <c r="DB724" s="260"/>
    </row>
    <row r="725" spans="1:106" s="144" customFormat="1" x14ac:dyDescent="0.25">
      <c r="A725" s="181"/>
      <c r="C725" s="133"/>
      <c r="L725" s="260"/>
      <c r="X725" s="260"/>
      <c r="Y725" s="170"/>
      <c r="AJ725" s="260"/>
      <c r="BD725" s="260"/>
      <c r="BY725" s="260"/>
      <c r="CJ725" s="260"/>
      <c r="CN725" s="170"/>
      <c r="CP725" s="260"/>
      <c r="CS725" s="260"/>
      <c r="CV725" s="260"/>
      <c r="CY725" s="260"/>
      <c r="DB725" s="260"/>
    </row>
    <row r="726" spans="1:106" s="144" customFormat="1" x14ac:dyDescent="0.25">
      <c r="A726" s="181"/>
      <c r="C726" s="133"/>
      <c r="L726" s="260"/>
      <c r="X726" s="260"/>
      <c r="Y726" s="170"/>
      <c r="AJ726" s="260"/>
      <c r="BD726" s="260"/>
      <c r="BY726" s="260"/>
      <c r="CJ726" s="260"/>
      <c r="CN726" s="170"/>
      <c r="CP726" s="260"/>
      <c r="CS726" s="260"/>
      <c r="CV726" s="260"/>
      <c r="CY726" s="260"/>
      <c r="DB726" s="260"/>
    </row>
    <row r="727" spans="1:106" s="144" customFormat="1" x14ac:dyDescent="0.25">
      <c r="A727" s="181"/>
      <c r="C727" s="133"/>
      <c r="L727" s="260"/>
      <c r="X727" s="260"/>
      <c r="Y727" s="170"/>
      <c r="AJ727" s="260"/>
      <c r="BD727" s="260"/>
      <c r="BY727" s="260"/>
      <c r="CJ727" s="260"/>
      <c r="CN727" s="170"/>
      <c r="CP727" s="260"/>
      <c r="CS727" s="260"/>
      <c r="CV727" s="260"/>
      <c r="CY727" s="260"/>
      <c r="DB727" s="260"/>
    </row>
    <row r="728" spans="1:106" s="144" customFormat="1" x14ac:dyDescent="0.25">
      <c r="A728" s="181"/>
      <c r="C728" s="133"/>
      <c r="L728" s="260"/>
      <c r="X728" s="260"/>
      <c r="Y728" s="170"/>
      <c r="AJ728" s="260"/>
      <c r="BD728" s="260"/>
      <c r="BY728" s="260"/>
      <c r="CJ728" s="260"/>
      <c r="CN728" s="170"/>
      <c r="CP728" s="260"/>
      <c r="CS728" s="260"/>
      <c r="CV728" s="260"/>
      <c r="CY728" s="260"/>
      <c r="DB728" s="260"/>
    </row>
    <row r="729" spans="1:106" s="144" customFormat="1" x14ac:dyDescent="0.25">
      <c r="A729" s="181"/>
      <c r="C729" s="133"/>
      <c r="L729" s="260"/>
      <c r="X729" s="260"/>
      <c r="Y729" s="170"/>
      <c r="AJ729" s="260"/>
      <c r="BD729" s="260"/>
      <c r="BY729" s="260"/>
      <c r="CJ729" s="260"/>
      <c r="CN729" s="170"/>
      <c r="CP729" s="260"/>
      <c r="CS729" s="260"/>
      <c r="CV729" s="260"/>
      <c r="CY729" s="260"/>
      <c r="DB729" s="260"/>
    </row>
    <row r="730" spans="1:106" s="144" customFormat="1" x14ac:dyDescent="0.25">
      <c r="A730" s="181"/>
      <c r="C730" s="133"/>
      <c r="L730" s="260"/>
      <c r="X730" s="260"/>
      <c r="Y730" s="170"/>
      <c r="AJ730" s="260"/>
      <c r="BD730" s="260"/>
      <c r="BY730" s="260"/>
      <c r="CJ730" s="260"/>
      <c r="CN730" s="170"/>
      <c r="CP730" s="260"/>
      <c r="CS730" s="260"/>
      <c r="CV730" s="260"/>
      <c r="CY730" s="260"/>
      <c r="DB730" s="260"/>
    </row>
    <row r="731" spans="1:106" s="144" customFormat="1" x14ac:dyDescent="0.25">
      <c r="A731" s="181"/>
      <c r="C731" s="133"/>
      <c r="L731" s="260"/>
      <c r="X731" s="260"/>
      <c r="Y731" s="170"/>
      <c r="AJ731" s="260"/>
      <c r="BD731" s="260"/>
      <c r="BY731" s="260"/>
      <c r="CJ731" s="260"/>
      <c r="CN731" s="170"/>
      <c r="CP731" s="260"/>
      <c r="CS731" s="260"/>
      <c r="CV731" s="260"/>
      <c r="CY731" s="260"/>
      <c r="DB731" s="260"/>
    </row>
    <row r="732" spans="1:106" s="144" customFormat="1" x14ac:dyDescent="0.25">
      <c r="A732" s="181"/>
      <c r="C732" s="133"/>
      <c r="L732" s="260"/>
      <c r="X732" s="260"/>
      <c r="Y732" s="170"/>
      <c r="AJ732" s="260"/>
      <c r="BD732" s="260"/>
      <c r="BY732" s="260"/>
      <c r="CJ732" s="260"/>
      <c r="CN732" s="170"/>
      <c r="CP732" s="260"/>
      <c r="CS732" s="260"/>
      <c r="CV732" s="260"/>
      <c r="CY732" s="260"/>
      <c r="DB732" s="260"/>
    </row>
    <row r="733" spans="1:106" s="144" customFormat="1" x14ac:dyDescent="0.25">
      <c r="A733" s="181"/>
      <c r="C733" s="133"/>
      <c r="L733" s="260"/>
      <c r="X733" s="260"/>
      <c r="Y733" s="170"/>
      <c r="AJ733" s="260"/>
      <c r="BD733" s="260"/>
      <c r="BY733" s="260"/>
      <c r="CJ733" s="260"/>
      <c r="CN733" s="170"/>
      <c r="CP733" s="260"/>
      <c r="CS733" s="260"/>
      <c r="CV733" s="260"/>
      <c r="CY733" s="260"/>
      <c r="DB733" s="260"/>
    </row>
    <row r="734" spans="1:106" s="144" customFormat="1" x14ac:dyDescent="0.25">
      <c r="A734" s="181"/>
      <c r="C734" s="133"/>
      <c r="L734" s="260"/>
      <c r="X734" s="260"/>
      <c r="Y734" s="170"/>
      <c r="AJ734" s="260"/>
      <c r="BD734" s="260"/>
      <c r="BY734" s="260"/>
      <c r="CJ734" s="260"/>
      <c r="CN734" s="170"/>
      <c r="CP734" s="260"/>
      <c r="CS734" s="260"/>
      <c r="CV734" s="260"/>
      <c r="CY734" s="260"/>
      <c r="DB734" s="260"/>
    </row>
    <row r="735" spans="1:106" s="144" customFormat="1" x14ac:dyDescent="0.25">
      <c r="A735" s="181"/>
      <c r="C735" s="133"/>
      <c r="L735" s="260"/>
      <c r="X735" s="260"/>
      <c r="Y735" s="170"/>
      <c r="AJ735" s="260"/>
      <c r="BD735" s="260"/>
      <c r="BY735" s="260"/>
      <c r="CJ735" s="260"/>
      <c r="CN735" s="170"/>
      <c r="CP735" s="260"/>
      <c r="CS735" s="260"/>
      <c r="CV735" s="260"/>
      <c r="CY735" s="260"/>
      <c r="DB735" s="260"/>
    </row>
    <row r="736" spans="1:106" s="144" customFormat="1" x14ac:dyDescent="0.25">
      <c r="A736" s="181"/>
      <c r="C736" s="133"/>
      <c r="L736" s="260"/>
      <c r="X736" s="260"/>
      <c r="Y736" s="170"/>
      <c r="AJ736" s="260"/>
      <c r="BD736" s="260"/>
      <c r="BY736" s="260"/>
      <c r="CJ736" s="260"/>
      <c r="CN736" s="170"/>
      <c r="CP736" s="260"/>
      <c r="CS736" s="260"/>
      <c r="CV736" s="260"/>
      <c r="CY736" s="260"/>
      <c r="DB736" s="260"/>
    </row>
    <row r="737" spans="1:106" s="144" customFormat="1" x14ac:dyDescent="0.25">
      <c r="A737" s="181"/>
      <c r="C737" s="133"/>
      <c r="L737" s="260"/>
      <c r="X737" s="260"/>
      <c r="Y737" s="170"/>
      <c r="AJ737" s="260"/>
      <c r="BD737" s="260"/>
      <c r="BY737" s="260"/>
      <c r="CJ737" s="260"/>
      <c r="CN737" s="170"/>
      <c r="CP737" s="260"/>
      <c r="CS737" s="260"/>
      <c r="CV737" s="260"/>
      <c r="CY737" s="260"/>
      <c r="DB737" s="260"/>
    </row>
    <row r="738" spans="1:106" s="144" customFormat="1" x14ac:dyDescent="0.25">
      <c r="A738" s="181"/>
      <c r="C738" s="133"/>
      <c r="L738" s="260"/>
      <c r="X738" s="260"/>
      <c r="Y738" s="170"/>
      <c r="AJ738" s="260"/>
      <c r="BD738" s="260"/>
      <c r="BY738" s="260"/>
      <c r="CJ738" s="260"/>
      <c r="CN738" s="170"/>
      <c r="CP738" s="260"/>
      <c r="CS738" s="260"/>
      <c r="CV738" s="260"/>
      <c r="CY738" s="260"/>
      <c r="DB738" s="260"/>
    </row>
    <row r="739" spans="1:106" s="144" customFormat="1" x14ac:dyDescent="0.25">
      <c r="A739" s="181"/>
      <c r="C739" s="133"/>
      <c r="L739" s="260"/>
      <c r="X739" s="260"/>
      <c r="Y739" s="170"/>
      <c r="AJ739" s="260"/>
      <c r="BD739" s="260"/>
      <c r="BY739" s="260"/>
      <c r="CJ739" s="260"/>
      <c r="CN739" s="170"/>
      <c r="CP739" s="260"/>
      <c r="CS739" s="260"/>
      <c r="CV739" s="260"/>
      <c r="CY739" s="260"/>
      <c r="DB739" s="260"/>
    </row>
    <row r="740" spans="1:106" s="144" customFormat="1" x14ac:dyDescent="0.25">
      <c r="A740" s="181"/>
      <c r="C740" s="133"/>
      <c r="L740" s="260"/>
      <c r="X740" s="260"/>
      <c r="Y740" s="170"/>
      <c r="AJ740" s="260"/>
      <c r="BD740" s="260"/>
      <c r="BY740" s="260"/>
      <c r="CJ740" s="260"/>
      <c r="CN740" s="170"/>
      <c r="CP740" s="260"/>
      <c r="CS740" s="260"/>
      <c r="CV740" s="260"/>
      <c r="CY740" s="260"/>
      <c r="DB740" s="260"/>
    </row>
    <row r="741" spans="1:106" s="144" customFormat="1" x14ac:dyDescent="0.25">
      <c r="A741" s="181"/>
      <c r="C741" s="133"/>
      <c r="L741" s="260"/>
      <c r="X741" s="260"/>
      <c r="Y741" s="170"/>
      <c r="AJ741" s="260"/>
      <c r="BD741" s="260"/>
      <c r="BY741" s="260"/>
      <c r="CJ741" s="260"/>
      <c r="CN741" s="170"/>
      <c r="CP741" s="260"/>
      <c r="CS741" s="260"/>
      <c r="CV741" s="260"/>
      <c r="CY741" s="260"/>
      <c r="DB741" s="260"/>
    </row>
    <row r="742" spans="1:106" s="144" customFormat="1" x14ac:dyDescent="0.25">
      <c r="A742" s="181"/>
      <c r="C742" s="133"/>
      <c r="L742" s="260"/>
      <c r="X742" s="260"/>
      <c r="Y742" s="170"/>
      <c r="AJ742" s="260"/>
      <c r="BD742" s="260"/>
      <c r="BY742" s="260"/>
      <c r="CJ742" s="260"/>
      <c r="CN742" s="170"/>
      <c r="CP742" s="260"/>
      <c r="CS742" s="260"/>
      <c r="CV742" s="260"/>
      <c r="CY742" s="260"/>
      <c r="DB742" s="260"/>
    </row>
    <row r="743" spans="1:106" s="144" customFormat="1" x14ac:dyDescent="0.25">
      <c r="A743" s="181"/>
      <c r="C743" s="133"/>
      <c r="L743" s="260"/>
      <c r="X743" s="260"/>
      <c r="Y743" s="170"/>
      <c r="AJ743" s="260"/>
      <c r="BD743" s="260"/>
      <c r="BY743" s="260"/>
      <c r="CJ743" s="260"/>
      <c r="CN743" s="170"/>
      <c r="CP743" s="260"/>
      <c r="CS743" s="260"/>
      <c r="CV743" s="260"/>
      <c r="CY743" s="260"/>
      <c r="DB743" s="260"/>
    </row>
    <row r="744" spans="1:106" s="144" customFormat="1" x14ac:dyDescent="0.25">
      <c r="A744" s="181"/>
      <c r="C744" s="133"/>
      <c r="L744" s="260"/>
      <c r="X744" s="260"/>
      <c r="Y744" s="170"/>
      <c r="AJ744" s="260"/>
      <c r="BD744" s="260"/>
      <c r="BY744" s="260"/>
      <c r="CJ744" s="260"/>
      <c r="CN744" s="170"/>
      <c r="CP744" s="260"/>
      <c r="CS744" s="260"/>
      <c r="CV744" s="260"/>
      <c r="CY744" s="260"/>
      <c r="DB744" s="260"/>
    </row>
    <row r="745" spans="1:106" s="144" customFormat="1" x14ac:dyDescent="0.25">
      <c r="A745" s="181"/>
      <c r="C745" s="133"/>
      <c r="L745" s="260"/>
      <c r="X745" s="260"/>
      <c r="Y745" s="170"/>
      <c r="AJ745" s="260"/>
      <c r="BD745" s="260"/>
      <c r="BY745" s="260"/>
      <c r="CJ745" s="260"/>
      <c r="CN745" s="170"/>
      <c r="CP745" s="260"/>
      <c r="CS745" s="260"/>
      <c r="CV745" s="260"/>
      <c r="CY745" s="260"/>
      <c r="DB745" s="260"/>
    </row>
    <row r="746" spans="1:106" s="144" customFormat="1" x14ac:dyDescent="0.25">
      <c r="A746" s="181"/>
      <c r="C746" s="133"/>
      <c r="L746" s="260"/>
      <c r="X746" s="260"/>
      <c r="Y746" s="170"/>
      <c r="AJ746" s="260"/>
      <c r="BD746" s="260"/>
      <c r="BY746" s="260"/>
      <c r="CJ746" s="260"/>
      <c r="CN746" s="170"/>
      <c r="CP746" s="260"/>
      <c r="CS746" s="260"/>
      <c r="CV746" s="260"/>
      <c r="CY746" s="260"/>
      <c r="DB746" s="260"/>
    </row>
    <row r="747" spans="1:106" s="144" customFormat="1" x14ac:dyDescent="0.25">
      <c r="A747" s="181"/>
      <c r="C747" s="133"/>
      <c r="L747" s="260"/>
      <c r="X747" s="260"/>
      <c r="Y747" s="170"/>
      <c r="AJ747" s="260"/>
      <c r="BD747" s="260"/>
      <c r="BY747" s="260"/>
      <c r="CJ747" s="260"/>
      <c r="CN747" s="170"/>
      <c r="CP747" s="260"/>
      <c r="CS747" s="260"/>
      <c r="CV747" s="260"/>
      <c r="CY747" s="260"/>
      <c r="DB747" s="260"/>
    </row>
    <row r="748" spans="1:106" s="144" customFormat="1" x14ac:dyDescent="0.25">
      <c r="A748" s="181"/>
      <c r="C748" s="133"/>
      <c r="L748" s="260"/>
      <c r="X748" s="260"/>
      <c r="Y748" s="170"/>
      <c r="AJ748" s="260"/>
      <c r="BD748" s="260"/>
      <c r="BY748" s="260"/>
      <c r="CJ748" s="260"/>
      <c r="CN748" s="170"/>
      <c r="CP748" s="260"/>
      <c r="CS748" s="260"/>
      <c r="CV748" s="260"/>
      <c r="CY748" s="260"/>
      <c r="DB748" s="260"/>
    </row>
    <row r="749" spans="1:106" s="144" customFormat="1" x14ac:dyDescent="0.25">
      <c r="A749" s="181"/>
      <c r="C749" s="133"/>
      <c r="L749" s="260"/>
      <c r="X749" s="260"/>
      <c r="Y749" s="170"/>
      <c r="AJ749" s="260"/>
      <c r="BD749" s="260"/>
      <c r="BY749" s="260"/>
      <c r="CJ749" s="260"/>
      <c r="CN749" s="170"/>
      <c r="CP749" s="260"/>
      <c r="CS749" s="260"/>
      <c r="CV749" s="260"/>
      <c r="CY749" s="260"/>
      <c r="DB749" s="260"/>
    </row>
    <row r="750" spans="1:106" s="144" customFormat="1" x14ac:dyDescent="0.25">
      <c r="A750" s="181"/>
      <c r="C750" s="133"/>
      <c r="L750" s="260"/>
      <c r="X750" s="260"/>
      <c r="Y750" s="170"/>
      <c r="AJ750" s="260"/>
      <c r="BD750" s="260"/>
      <c r="BY750" s="260"/>
      <c r="CJ750" s="260"/>
      <c r="CN750" s="170"/>
      <c r="CP750" s="260"/>
      <c r="CS750" s="260"/>
      <c r="CV750" s="260"/>
      <c r="CY750" s="260"/>
      <c r="DB750" s="260"/>
    </row>
    <row r="751" spans="1:106" s="144" customFormat="1" x14ac:dyDescent="0.25">
      <c r="A751" s="181"/>
      <c r="C751" s="133"/>
      <c r="L751" s="260"/>
      <c r="X751" s="260"/>
      <c r="Y751" s="170"/>
      <c r="AJ751" s="260"/>
      <c r="BD751" s="260"/>
      <c r="BY751" s="260"/>
      <c r="CJ751" s="260"/>
      <c r="CN751" s="170"/>
      <c r="CP751" s="260"/>
      <c r="CS751" s="260"/>
      <c r="CV751" s="260"/>
      <c r="CY751" s="260"/>
      <c r="DB751" s="260"/>
    </row>
    <row r="752" spans="1:106" s="144" customFormat="1" x14ac:dyDescent="0.25">
      <c r="A752" s="181"/>
      <c r="C752" s="133"/>
      <c r="L752" s="260"/>
      <c r="X752" s="260"/>
      <c r="Y752" s="170"/>
      <c r="AJ752" s="260"/>
      <c r="BD752" s="260"/>
      <c r="BY752" s="260"/>
      <c r="CJ752" s="260"/>
      <c r="CN752" s="170"/>
      <c r="CP752" s="260"/>
      <c r="CS752" s="260"/>
      <c r="CV752" s="260"/>
      <c r="CY752" s="260"/>
      <c r="DB752" s="260"/>
    </row>
    <row r="753" spans="1:106" s="144" customFormat="1" x14ac:dyDescent="0.25">
      <c r="A753" s="181"/>
      <c r="C753" s="133"/>
      <c r="L753" s="260"/>
      <c r="X753" s="260"/>
      <c r="Y753" s="170"/>
      <c r="AJ753" s="260"/>
      <c r="BD753" s="260"/>
      <c r="BY753" s="260"/>
      <c r="CJ753" s="260"/>
      <c r="CN753" s="170"/>
      <c r="CP753" s="260"/>
      <c r="CS753" s="260"/>
      <c r="CV753" s="260"/>
      <c r="CY753" s="260"/>
      <c r="DB753" s="260"/>
    </row>
    <row r="754" spans="1:106" s="144" customFormat="1" x14ac:dyDescent="0.25">
      <c r="A754" s="181"/>
      <c r="C754" s="133"/>
      <c r="L754" s="260"/>
      <c r="X754" s="260"/>
      <c r="Y754" s="170"/>
      <c r="AJ754" s="260"/>
      <c r="BD754" s="260"/>
      <c r="BY754" s="260"/>
      <c r="CJ754" s="260"/>
      <c r="CN754" s="170"/>
      <c r="CP754" s="260"/>
      <c r="CS754" s="260"/>
      <c r="CV754" s="260"/>
      <c r="CY754" s="260"/>
      <c r="DB754" s="260"/>
    </row>
    <row r="755" spans="1:106" s="144" customFormat="1" x14ac:dyDescent="0.25">
      <c r="A755" s="181"/>
      <c r="C755" s="133"/>
      <c r="L755" s="260"/>
      <c r="X755" s="260"/>
      <c r="Y755" s="170"/>
      <c r="AJ755" s="260"/>
      <c r="BD755" s="260"/>
      <c r="BY755" s="260"/>
      <c r="CJ755" s="260"/>
      <c r="CN755" s="170"/>
      <c r="CP755" s="260"/>
      <c r="CS755" s="260"/>
      <c r="CV755" s="260"/>
      <c r="CY755" s="260"/>
      <c r="DB755" s="260"/>
    </row>
    <row r="756" spans="1:106" s="144" customFormat="1" x14ac:dyDescent="0.25">
      <c r="A756" s="181"/>
      <c r="C756" s="133"/>
      <c r="L756" s="260"/>
      <c r="X756" s="260"/>
      <c r="Y756" s="170"/>
      <c r="AJ756" s="260"/>
      <c r="BD756" s="260"/>
      <c r="BY756" s="260"/>
      <c r="CJ756" s="260"/>
      <c r="CN756" s="170"/>
      <c r="CP756" s="260"/>
      <c r="CS756" s="260"/>
      <c r="CV756" s="260"/>
      <c r="CY756" s="260"/>
      <c r="DB756" s="260"/>
    </row>
    <row r="757" spans="1:106" s="144" customFormat="1" x14ac:dyDescent="0.25">
      <c r="A757" s="181"/>
      <c r="C757" s="133"/>
      <c r="L757" s="260"/>
      <c r="X757" s="260"/>
      <c r="Y757" s="170"/>
      <c r="AJ757" s="260"/>
      <c r="BD757" s="260"/>
      <c r="BY757" s="260"/>
      <c r="CJ757" s="260"/>
      <c r="CN757" s="170"/>
      <c r="CP757" s="260"/>
      <c r="CS757" s="260"/>
      <c r="CV757" s="260"/>
      <c r="CY757" s="260"/>
      <c r="DB757" s="260"/>
    </row>
    <row r="758" spans="1:106" s="144" customFormat="1" x14ac:dyDescent="0.25">
      <c r="A758" s="181"/>
      <c r="C758" s="133"/>
      <c r="L758" s="260"/>
      <c r="X758" s="260"/>
      <c r="Y758" s="170"/>
      <c r="AJ758" s="260"/>
      <c r="BD758" s="260"/>
      <c r="BY758" s="260"/>
      <c r="CJ758" s="260"/>
      <c r="CN758" s="170"/>
      <c r="CP758" s="260"/>
      <c r="CS758" s="260"/>
      <c r="CV758" s="260"/>
      <c r="CY758" s="260"/>
      <c r="DB758" s="260"/>
    </row>
    <row r="759" spans="1:106" s="144" customFormat="1" x14ac:dyDescent="0.25">
      <c r="A759" s="181"/>
      <c r="C759" s="133"/>
      <c r="L759" s="260"/>
      <c r="X759" s="260"/>
      <c r="Y759" s="170"/>
      <c r="AJ759" s="260"/>
      <c r="BD759" s="260"/>
      <c r="BY759" s="260"/>
      <c r="CJ759" s="260"/>
      <c r="CN759" s="170"/>
      <c r="CP759" s="260"/>
      <c r="CS759" s="260"/>
      <c r="CV759" s="260"/>
      <c r="CY759" s="260"/>
      <c r="DB759" s="260"/>
    </row>
    <row r="760" spans="1:106" s="144" customFormat="1" x14ac:dyDescent="0.25">
      <c r="A760" s="181"/>
      <c r="C760" s="133"/>
      <c r="L760" s="260"/>
      <c r="X760" s="260"/>
      <c r="Y760" s="170"/>
      <c r="AJ760" s="260"/>
      <c r="BD760" s="260"/>
      <c r="BY760" s="260"/>
      <c r="CJ760" s="260"/>
      <c r="CN760" s="170"/>
      <c r="CP760" s="260"/>
      <c r="CS760" s="260"/>
      <c r="CV760" s="260"/>
      <c r="CY760" s="260"/>
      <c r="DB760" s="260"/>
    </row>
    <row r="761" spans="1:106" s="144" customFormat="1" x14ac:dyDescent="0.25">
      <c r="A761" s="181"/>
      <c r="C761" s="133"/>
      <c r="L761" s="260"/>
      <c r="X761" s="260"/>
      <c r="Y761" s="170"/>
      <c r="AJ761" s="260"/>
      <c r="BD761" s="260"/>
      <c r="BY761" s="260"/>
      <c r="CJ761" s="260"/>
      <c r="CN761" s="170"/>
      <c r="CP761" s="260"/>
      <c r="CS761" s="260"/>
      <c r="CV761" s="260"/>
      <c r="CY761" s="260"/>
      <c r="DB761" s="260"/>
    </row>
    <row r="762" spans="1:106" s="144" customFormat="1" x14ac:dyDescent="0.25">
      <c r="A762" s="181"/>
      <c r="C762" s="133"/>
      <c r="L762" s="260"/>
      <c r="X762" s="260"/>
      <c r="Y762" s="170"/>
      <c r="AJ762" s="260"/>
      <c r="BD762" s="260"/>
      <c r="BY762" s="260"/>
      <c r="CJ762" s="260"/>
      <c r="CN762" s="170"/>
      <c r="CP762" s="260"/>
      <c r="CS762" s="260"/>
      <c r="CV762" s="260"/>
      <c r="CY762" s="260"/>
      <c r="DB762" s="260"/>
    </row>
    <row r="763" spans="1:106" s="144" customFormat="1" x14ac:dyDescent="0.25">
      <c r="A763" s="181"/>
      <c r="C763" s="133"/>
      <c r="L763" s="260"/>
      <c r="X763" s="260"/>
      <c r="Y763" s="170"/>
      <c r="AJ763" s="260"/>
      <c r="BD763" s="260"/>
      <c r="BY763" s="260"/>
      <c r="CJ763" s="260"/>
      <c r="CN763" s="170"/>
      <c r="CP763" s="260"/>
      <c r="CS763" s="260"/>
      <c r="CV763" s="260"/>
      <c r="CY763" s="260"/>
      <c r="DB763" s="260"/>
    </row>
    <row r="764" spans="1:106" s="144" customFormat="1" x14ac:dyDescent="0.25">
      <c r="A764" s="181"/>
      <c r="C764" s="133"/>
      <c r="L764" s="260"/>
      <c r="X764" s="260"/>
      <c r="Y764" s="170"/>
      <c r="AJ764" s="260"/>
      <c r="BD764" s="260"/>
      <c r="BY764" s="260"/>
      <c r="CJ764" s="260"/>
      <c r="CN764" s="170"/>
      <c r="CP764" s="260"/>
      <c r="CS764" s="260"/>
      <c r="CV764" s="260"/>
      <c r="CY764" s="260"/>
      <c r="DB764" s="260"/>
    </row>
    <row r="765" spans="1:106" s="144" customFormat="1" x14ac:dyDescent="0.25">
      <c r="A765" s="181"/>
      <c r="C765" s="133"/>
      <c r="L765" s="260"/>
      <c r="X765" s="260"/>
      <c r="Y765" s="170"/>
      <c r="AJ765" s="260"/>
      <c r="BD765" s="260"/>
      <c r="BY765" s="260"/>
      <c r="CJ765" s="260"/>
      <c r="CN765" s="170"/>
      <c r="CP765" s="260"/>
      <c r="CS765" s="260"/>
      <c r="CV765" s="260"/>
      <c r="CY765" s="260"/>
      <c r="DB765" s="260"/>
    </row>
    <row r="766" spans="1:106" s="144" customFormat="1" x14ac:dyDescent="0.25">
      <c r="A766" s="181"/>
      <c r="C766" s="133"/>
      <c r="L766" s="260"/>
      <c r="X766" s="260"/>
      <c r="Y766" s="170"/>
      <c r="AJ766" s="260"/>
      <c r="BD766" s="260"/>
      <c r="BY766" s="260"/>
      <c r="CJ766" s="260"/>
      <c r="CN766" s="170"/>
      <c r="CP766" s="260"/>
      <c r="CS766" s="260"/>
      <c r="CV766" s="260"/>
      <c r="CY766" s="260"/>
      <c r="DB766" s="260"/>
    </row>
    <row r="767" spans="1:106" s="144" customFormat="1" x14ac:dyDescent="0.25">
      <c r="A767" s="181"/>
      <c r="C767" s="133"/>
      <c r="L767" s="260"/>
      <c r="X767" s="260"/>
      <c r="Y767" s="170"/>
      <c r="AJ767" s="260"/>
      <c r="BD767" s="260"/>
      <c r="BY767" s="260"/>
      <c r="CJ767" s="260"/>
      <c r="CN767" s="170"/>
      <c r="CP767" s="260"/>
      <c r="CS767" s="260"/>
      <c r="CV767" s="260"/>
      <c r="CY767" s="260"/>
      <c r="DB767" s="260"/>
    </row>
    <row r="768" spans="1:106" s="144" customFormat="1" x14ac:dyDescent="0.25">
      <c r="A768" s="181"/>
      <c r="C768" s="133"/>
      <c r="L768" s="260"/>
      <c r="X768" s="260"/>
      <c r="Y768" s="170"/>
      <c r="AJ768" s="260"/>
      <c r="BD768" s="260"/>
      <c r="BY768" s="260"/>
      <c r="CJ768" s="260"/>
      <c r="CN768" s="170"/>
      <c r="CP768" s="260"/>
      <c r="CS768" s="260"/>
      <c r="CV768" s="260"/>
      <c r="CY768" s="260"/>
      <c r="DB768" s="260"/>
    </row>
    <row r="769" spans="1:106" s="144" customFormat="1" x14ac:dyDescent="0.25">
      <c r="A769" s="181"/>
      <c r="C769" s="133"/>
      <c r="L769" s="260"/>
      <c r="X769" s="260"/>
      <c r="Y769" s="170"/>
      <c r="AJ769" s="260"/>
      <c r="BD769" s="260"/>
      <c r="BY769" s="260"/>
      <c r="CJ769" s="260"/>
      <c r="CN769" s="170"/>
      <c r="CP769" s="260"/>
      <c r="CS769" s="260"/>
      <c r="CV769" s="260"/>
      <c r="CY769" s="260"/>
      <c r="DB769" s="260"/>
    </row>
    <row r="770" spans="1:106" s="144" customFormat="1" x14ac:dyDescent="0.25">
      <c r="A770" s="181"/>
      <c r="C770" s="133"/>
      <c r="L770" s="260"/>
      <c r="X770" s="260"/>
      <c r="Y770" s="170"/>
      <c r="AJ770" s="260"/>
      <c r="BD770" s="260"/>
      <c r="BY770" s="260"/>
      <c r="CJ770" s="260"/>
      <c r="CN770" s="170"/>
      <c r="CP770" s="260"/>
      <c r="CS770" s="260"/>
      <c r="CV770" s="260"/>
      <c r="CY770" s="260"/>
      <c r="DB770" s="260"/>
    </row>
    <row r="771" spans="1:106" s="144" customFormat="1" x14ac:dyDescent="0.25">
      <c r="A771" s="181"/>
      <c r="C771" s="133"/>
      <c r="L771" s="260"/>
      <c r="X771" s="260"/>
      <c r="Y771" s="170"/>
      <c r="AJ771" s="260"/>
      <c r="BD771" s="260"/>
      <c r="BY771" s="260"/>
      <c r="CJ771" s="260"/>
      <c r="CN771" s="170"/>
      <c r="CP771" s="260"/>
      <c r="CS771" s="260"/>
      <c r="CV771" s="260"/>
      <c r="CY771" s="260"/>
      <c r="DB771" s="260"/>
    </row>
    <row r="772" spans="1:106" s="144" customFormat="1" x14ac:dyDescent="0.25">
      <c r="A772" s="181"/>
      <c r="C772" s="133"/>
      <c r="L772" s="260"/>
      <c r="X772" s="260"/>
      <c r="Y772" s="170"/>
      <c r="AJ772" s="260"/>
      <c r="BD772" s="260"/>
      <c r="BY772" s="260"/>
      <c r="CJ772" s="260"/>
      <c r="CN772" s="170"/>
      <c r="CP772" s="260"/>
      <c r="CS772" s="260"/>
      <c r="CV772" s="260"/>
      <c r="CY772" s="260"/>
      <c r="DB772" s="260"/>
    </row>
    <row r="773" spans="1:106" s="144" customFormat="1" x14ac:dyDescent="0.25">
      <c r="A773" s="181"/>
      <c r="C773" s="133"/>
      <c r="L773" s="260"/>
      <c r="X773" s="260"/>
      <c r="Y773" s="170"/>
      <c r="AJ773" s="260"/>
      <c r="BD773" s="260"/>
      <c r="BY773" s="260"/>
      <c r="CJ773" s="260"/>
      <c r="CN773" s="170"/>
      <c r="CP773" s="260"/>
      <c r="CS773" s="260"/>
      <c r="CV773" s="260"/>
      <c r="CY773" s="260"/>
      <c r="DB773" s="260"/>
    </row>
    <row r="774" spans="1:106" s="144" customFormat="1" x14ac:dyDescent="0.25">
      <c r="A774" s="181"/>
      <c r="C774" s="133"/>
      <c r="L774" s="260"/>
      <c r="X774" s="260"/>
      <c r="Y774" s="170"/>
      <c r="AJ774" s="260"/>
      <c r="BD774" s="260"/>
      <c r="BY774" s="260"/>
      <c r="CJ774" s="260"/>
      <c r="CN774" s="170"/>
      <c r="CP774" s="260"/>
      <c r="CS774" s="260"/>
      <c r="CV774" s="260"/>
      <c r="CY774" s="260"/>
      <c r="DB774" s="260"/>
    </row>
    <row r="775" spans="1:106" s="144" customFormat="1" x14ac:dyDescent="0.25">
      <c r="A775" s="181"/>
      <c r="C775" s="133"/>
      <c r="L775" s="260"/>
      <c r="X775" s="260"/>
      <c r="Y775" s="170"/>
      <c r="AJ775" s="260"/>
      <c r="BD775" s="260"/>
      <c r="BY775" s="260"/>
      <c r="CJ775" s="260"/>
      <c r="CN775" s="170"/>
      <c r="CP775" s="260"/>
      <c r="CS775" s="260"/>
      <c r="CV775" s="260"/>
      <c r="CY775" s="260"/>
      <c r="DB775" s="260"/>
    </row>
    <row r="776" spans="1:106" s="144" customFormat="1" x14ac:dyDescent="0.25">
      <c r="A776" s="181"/>
      <c r="C776" s="133"/>
      <c r="L776" s="260"/>
      <c r="X776" s="260"/>
      <c r="Y776" s="170"/>
      <c r="AJ776" s="260"/>
      <c r="BD776" s="260"/>
      <c r="BY776" s="260"/>
      <c r="CJ776" s="260"/>
      <c r="CN776" s="170"/>
      <c r="CP776" s="260"/>
      <c r="CS776" s="260"/>
      <c r="CV776" s="260"/>
      <c r="CY776" s="260"/>
      <c r="DB776" s="260"/>
    </row>
    <row r="777" spans="1:106" s="144" customFormat="1" x14ac:dyDescent="0.25">
      <c r="A777" s="181"/>
      <c r="C777" s="133"/>
      <c r="L777" s="260"/>
      <c r="X777" s="260"/>
      <c r="Y777" s="170"/>
      <c r="AJ777" s="260"/>
      <c r="BD777" s="260"/>
      <c r="BY777" s="260"/>
      <c r="CJ777" s="260"/>
      <c r="CN777" s="170"/>
      <c r="CP777" s="260"/>
      <c r="CS777" s="260"/>
      <c r="CV777" s="260"/>
      <c r="CY777" s="260"/>
      <c r="DB777" s="260"/>
    </row>
    <row r="778" spans="1:106" s="144" customFormat="1" x14ac:dyDescent="0.25">
      <c r="A778" s="181"/>
      <c r="C778" s="133"/>
      <c r="L778" s="260"/>
      <c r="X778" s="260"/>
      <c r="Y778" s="170"/>
      <c r="AJ778" s="260"/>
      <c r="BD778" s="260"/>
      <c r="BY778" s="260"/>
      <c r="CJ778" s="260"/>
      <c r="CN778" s="170"/>
      <c r="CP778" s="260"/>
      <c r="CS778" s="260"/>
      <c r="CV778" s="260"/>
      <c r="CY778" s="260"/>
      <c r="DB778" s="260"/>
    </row>
    <row r="779" spans="1:106" s="144" customFormat="1" x14ac:dyDescent="0.25">
      <c r="A779" s="181"/>
      <c r="C779" s="133"/>
      <c r="L779" s="260"/>
      <c r="X779" s="260"/>
      <c r="Y779" s="170"/>
      <c r="AJ779" s="260"/>
      <c r="BD779" s="260"/>
      <c r="BY779" s="260"/>
      <c r="CJ779" s="260"/>
      <c r="CN779" s="170"/>
      <c r="CP779" s="260"/>
      <c r="CS779" s="260"/>
      <c r="CV779" s="260"/>
      <c r="CY779" s="260"/>
      <c r="DB779" s="260"/>
    </row>
    <row r="780" spans="1:106" s="144" customFormat="1" x14ac:dyDescent="0.25">
      <c r="A780" s="181"/>
      <c r="C780" s="133"/>
      <c r="L780" s="260"/>
      <c r="X780" s="260"/>
      <c r="Y780" s="170"/>
      <c r="AJ780" s="260"/>
      <c r="BD780" s="260"/>
      <c r="BY780" s="260"/>
      <c r="CJ780" s="260"/>
      <c r="CN780" s="170"/>
      <c r="CP780" s="260"/>
      <c r="CS780" s="260"/>
      <c r="CV780" s="260"/>
      <c r="CY780" s="260"/>
      <c r="DB780" s="260"/>
    </row>
    <row r="781" spans="1:106" s="144" customFormat="1" x14ac:dyDescent="0.25">
      <c r="A781" s="181"/>
      <c r="C781" s="133"/>
      <c r="L781" s="260"/>
      <c r="X781" s="260"/>
      <c r="Y781" s="170"/>
      <c r="AJ781" s="260"/>
      <c r="BD781" s="260"/>
      <c r="BY781" s="260"/>
      <c r="CJ781" s="260"/>
      <c r="CN781" s="170"/>
      <c r="CP781" s="260"/>
      <c r="CS781" s="260"/>
      <c r="CV781" s="260"/>
      <c r="CY781" s="260"/>
      <c r="DB781" s="260"/>
    </row>
    <row r="782" spans="1:106" s="144" customFormat="1" x14ac:dyDescent="0.25">
      <c r="A782" s="181"/>
      <c r="C782" s="133"/>
      <c r="L782" s="260"/>
      <c r="X782" s="260"/>
      <c r="Y782" s="170"/>
      <c r="AJ782" s="260"/>
      <c r="BD782" s="260"/>
      <c r="BY782" s="260"/>
      <c r="CJ782" s="260"/>
      <c r="CN782" s="170"/>
      <c r="CP782" s="260"/>
      <c r="CS782" s="260"/>
      <c r="CV782" s="260"/>
      <c r="CY782" s="260"/>
      <c r="DB782" s="260"/>
    </row>
    <row r="783" spans="1:106" s="144" customFormat="1" x14ac:dyDescent="0.25">
      <c r="A783" s="181"/>
      <c r="C783" s="133"/>
      <c r="L783" s="260"/>
      <c r="X783" s="260"/>
      <c r="Y783" s="170"/>
      <c r="AJ783" s="260"/>
      <c r="BD783" s="260"/>
      <c r="BY783" s="260"/>
      <c r="CJ783" s="260"/>
      <c r="CN783" s="170"/>
      <c r="CP783" s="260"/>
      <c r="CS783" s="260"/>
      <c r="CV783" s="260"/>
      <c r="CY783" s="260"/>
      <c r="DB783" s="260"/>
    </row>
    <row r="784" spans="1:106" s="144" customFormat="1" x14ac:dyDescent="0.25">
      <c r="A784" s="181"/>
      <c r="C784" s="133"/>
      <c r="L784" s="260"/>
      <c r="X784" s="260"/>
      <c r="Y784" s="170"/>
      <c r="AJ784" s="260"/>
      <c r="BD784" s="260"/>
      <c r="BY784" s="260"/>
      <c r="CJ784" s="260"/>
      <c r="CN784" s="170"/>
      <c r="CP784" s="260"/>
      <c r="CS784" s="260"/>
      <c r="CV784" s="260"/>
      <c r="CY784" s="260"/>
      <c r="DB784" s="260"/>
    </row>
    <row r="785" spans="1:106" s="144" customFormat="1" x14ac:dyDescent="0.25">
      <c r="A785" s="181"/>
      <c r="C785" s="133"/>
      <c r="L785" s="260"/>
      <c r="X785" s="260"/>
      <c r="Y785" s="170"/>
      <c r="AJ785" s="260"/>
      <c r="BD785" s="260"/>
      <c r="BY785" s="260"/>
      <c r="CJ785" s="260"/>
      <c r="CN785" s="170"/>
      <c r="CP785" s="260"/>
      <c r="CS785" s="260"/>
      <c r="CV785" s="260"/>
      <c r="CY785" s="260"/>
      <c r="DB785" s="260"/>
    </row>
    <row r="786" spans="1:106" s="144" customFormat="1" x14ac:dyDescent="0.25">
      <c r="A786" s="181"/>
      <c r="C786" s="133"/>
      <c r="L786" s="260"/>
      <c r="X786" s="260"/>
      <c r="Y786" s="170"/>
      <c r="AJ786" s="260"/>
      <c r="BD786" s="260"/>
      <c r="BY786" s="260"/>
      <c r="CJ786" s="260"/>
      <c r="CN786" s="170"/>
      <c r="CP786" s="260"/>
      <c r="CS786" s="260"/>
      <c r="CV786" s="260"/>
      <c r="CY786" s="260"/>
      <c r="DB786" s="260"/>
    </row>
    <row r="787" spans="1:106" s="144" customFormat="1" x14ac:dyDescent="0.25">
      <c r="A787" s="181"/>
      <c r="C787" s="133"/>
      <c r="L787" s="260"/>
      <c r="X787" s="260"/>
      <c r="Y787" s="170"/>
      <c r="AJ787" s="260"/>
      <c r="BD787" s="260"/>
      <c r="BY787" s="260"/>
      <c r="CJ787" s="260"/>
      <c r="CN787" s="170"/>
      <c r="CP787" s="260"/>
      <c r="CS787" s="260"/>
      <c r="CV787" s="260"/>
      <c r="CY787" s="260"/>
      <c r="DB787" s="260"/>
    </row>
    <row r="788" spans="1:106" s="144" customFormat="1" x14ac:dyDescent="0.25">
      <c r="A788" s="181"/>
      <c r="C788" s="133"/>
      <c r="L788" s="260"/>
      <c r="X788" s="260"/>
      <c r="Y788" s="170"/>
      <c r="AJ788" s="260"/>
      <c r="BD788" s="260"/>
      <c r="BY788" s="260"/>
      <c r="CJ788" s="260"/>
      <c r="CN788" s="170"/>
      <c r="CP788" s="260"/>
      <c r="CS788" s="260"/>
      <c r="CV788" s="260"/>
      <c r="CY788" s="260"/>
      <c r="DB788" s="260"/>
    </row>
    <row r="789" spans="1:106" s="144" customFormat="1" x14ac:dyDescent="0.25">
      <c r="A789" s="181"/>
      <c r="C789" s="133"/>
      <c r="L789" s="260"/>
      <c r="X789" s="260"/>
      <c r="Y789" s="170"/>
      <c r="AJ789" s="260"/>
      <c r="BD789" s="260"/>
      <c r="BY789" s="260"/>
      <c r="CJ789" s="260"/>
      <c r="CN789" s="170"/>
      <c r="CP789" s="260"/>
      <c r="CS789" s="260"/>
      <c r="CV789" s="260"/>
      <c r="CY789" s="260"/>
      <c r="DB789" s="260"/>
    </row>
    <row r="790" spans="1:106" s="144" customFormat="1" x14ac:dyDescent="0.25">
      <c r="A790" s="181"/>
      <c r="C790" s="133"/>
      <c r="L790" s="260"/>
      <c r="X790" s="260"/>
      <c r="Y790" s="170"/>
      <c r="AJ790" s="260"/>
      <c r="BD790" s="260"/>
      <c r="BY790" s="260"/>
      <c r="CJ790" s="260"/>
      <c r="CN790" s="170"/>
      <c r="CP790" s="260"/>
      <c r="CS790" s="260"/>
      <c r="CV790" s="260"/>
      <c r="CY790" s="260"/>
      <c r="DB790" s="260"/>
    </row>
    <row r="791" spans="1:106" s="144" customFormat="1" x14ac:dyDescent="0.25">
      <c r="A791" s="181"/>
      <c r="C791" s="133"/>
      <c r="L791" s="260"/>
      <c r="X791" s="260"/>
      <c r="Y791" s="170"/>
      <c r="AJ791" s="260"/>
      <c r="BD791" s="260"/>
      <c r="BY791" s="260"/>
      <c r="CJ791" s="260"/>
      <c r="CN791" s="170"/>
      <c r="CP791" s="260"/>
      <c r="CS791" s="260"/>
      <c r="CV791" s="260"/>
      <c r="CY791" s="260"/>
      <c r="DB791" s="260"/>
    </row>
    <row r="792" spans="1:106" s="144" customFormat="1" x14ac:dyDescent="0.25">
      <c r="A792" s="181"/>
      <c r="C792" s="133"/>
      <c r="L792" s="260"/>
      <c r="X792" s="260"/>
      <c r="Y792" s="170"/>
      <c r="AJ792" s="260"/>
      <c r="BD792" s="260"/>
      <c r="BY792" s="260"/>
      <c r="CJ792" s="260"/>
      <c r="CN792" s="170"/>
      <c r="CP792" s="260"/>
      <c r="CS792" s="260"/>
      <c r="CV792" s="260"/>
      <c r="CY792" s="260"/>
      <c r="DB792" s="260"/>
    </row>
    <row r="793" spans="1:106" s="144" customFormat="1" x14ac:dyDescent="0.25">
      <c r="A793" s="181"/>
      <c r="C793" s="133"/>
      <c r="L793" s="260"/>
      <c r="X793" s="260"/>
      <c r="Y793" s="170"/>
      <c r="AJ793" s="260"/>
      <c r="BD793" s="260"/>
      <c r="BY793" s="260"/>
      <c r="CJ793" s="260"/>
      <c r="CN793" s="170"/>
      <c r="CP793" s="260"/>
      <c r="CS793" s="260"/>
      <c r="CV793" s="260"/>
      <c r="CY793" s="260"/>
      <c r="DB793" s="260"/>
    </row>
    <row r="794" spans="1:106" s="144" customFormat="1" x14ac:dyDescent="0.25">
      <c r="A794" s="181"/>
      <c r="C794" s="133"/>
      <c r="L794" s="260"/>
      <c r="X794" s="260"/>
      <c r="Y794" s="170"/>
      <c r="AJ794" s="260"/>
      <c r="BD794" s="260"/>
      <c r="BY794" s="260"/>
      <c r="CJ794" s="260"/>
      <c r="CN794" s="170"/>
      <c r="CP794" s="260"/>
      <c r="CS794" s="260"/>
      <c r="CV794" s="260"/>
      <c r="CY794" s="260"/>
      <c r="DB794" s="260"/>
    </row>
    <row r="795" spans="1:106" s="144" customFormat="1" x14ac:dyDescent="0.25">
      <c r="A795" s="181"/>
      <c r="C795" s="133"/>
      <c r="L795" s="260"/>
      <c r="X795" s="260"/>
      <c r="Y795" s="170"/>
      <c r="AJ795" s="260"/>
      <c r="BD795" s="260"/>
      <c r="BY795" s="260"/>
      <c r="CJ795" s="260"/>
      <c r="CN795" s="170"/>
      <c r="CP795" s="260"/>
      <c r="CS795" s="260"/>
      <c r="CV795" s="260"/>
      <c r="CY795" s="260"/>
      <c r="DB795" s="260"/>
    </row>
    <row r="796" spans="1:106" s="144" customFormat="1" x14ac:dyDescent="0.25">
      <c r="A796" s="181"/>
      <c r="C796" s="133"/>
      <c r="L796" s="260"/>
      <c r="X796" s="260"/>
      <c r="Y796" s="170"/>
      <c r="AJ796" s="260"/>
      <c r="BD796" s="260"/>
      <c r="BY796" s="260"/>
      <c r="CJ796" s="260"/>
      <c r="CN796" s="170"/>
      <c r="CP796" s="260"/>
      <c r="CS796" s="260"/>
      <c r="CV796" s="260"/>
      <c r="CY796" s="260"/>
      <c r="DB796" s="260"/>
    </row>
    <row r="797" spans="1:106" s="144" customFormat="1" x14ac:dyDescent="0.25">
      <c r="A797" s="181"/>
      <c r="C797" s="133"/>
      <c r="L797" s="260"/>
      <c r="X797" s="260"/>
      <c r="Y797" s="170"/>
      <c r="AJ797" s="260"/>
      <c r="BD797" s="260"/>
      <c r="BY797" s="260"/>
      <c r="CJ797" s="260"/>
      <c r="CN797" s="170"/>
      <c r="CP797" s="260"/>
      <c r="CS797" s="260"/>
      <c r="CV797" s="260"/>
      <c r="CY797" s="260"/>
      <c r="DB797" s="260"/>
    </row>
    <row r="798" spans="1:106" s="144" customFormat="1" x14ac:dyDescent="0.25">
      <c r="A798" s="181"/>
      <c r="C798" s="133"/>
      <c r="L798" s="260"/>
      <c r="X798" s="260"/>
      <c r="Y798" s="170"/>
      <c r="AJ798" s="260"/>
      <c r="BD798" s="260"/>
      <c r="BY798" s="260"/>
      <c r="CJ798" s="260"/>
      <c r="CN798" s="170"/>
      <c r="CP798" s="260"/>
      <c r="CS798" s="260"/>
      <c r="CV798" s="260"/>
      <c r="CY798" s="260"/>
      <c r="DB798" s="260"/>
    </row>
    <row r="799" spans="1:106" s="144" customFormat="1" x14ac:dyDescent="0.25">
      <c r="A799" s="181"/>
      <c r="C799" s="133"/>
      <c r="L799" s="260"/>
      <c r="X799" s="260"/>
      <c r="Y799" s="170"/>
      <c r="AJ799" s="260"/>
      <c r="BD799" s="260"/>
      <c r="BY799" s="260"/>
      <c r="CJ799" s="260"/>
      <c r="CN799" s="170"/>
      <c r="CP799" s="260"/>
      <c r="CS799" s="260"/>
      <c r="CV799" s="260"/>
      <c r="CY799" s="260"/>
      <c r="DB799" s="260"/>
    </row>
    <row r="800" spans="1:106" s="144" customFormat="1" x14ac:dyDescent="0.25">
      <c r="A800" s="181"/>
      <c r="C800" s="133"/>
      <c r="L800" s="260"/>
      <c r="X800" s="260"/>
      <c r="Y800" s="170"/>
      <c r="AJ800" s="260"/>
      <c r="BD800" s="260"/>
      <c r="BY800" s="260"/>
      <c r="CJ800" s="260"/>
      <c r="CN800" s="170"/>
      <c r="CP800" s="260"/>
      <c r="CS800" s="260"/>
      <c r="CV800" s="260"/>
      <c r="CY800" s="260"/>
      <c r="DB800" s="260"/>
    </row>
    <row r="801" spans="1:106" s="144" customFormat="1" x14ac:dyDescent="0.25">
      <c r="A801" s="181"/>
      <c r="C801" s="133"/>
      <c r="L801" s="260"/>
      <c r="X801" s="260"/>
      <c r="Y801" s="170"/>
      <c r="AJ801" s="260"/>
      <c r="BD801" s="260"/>
      <c r="BY801" s="260"/>
      <c r="CJ801" s="260"/>
      <c r="CN801" s="170"/>
      <c r="CP801" s="260"/>
      <c r="CS801" s="260"/>
      <c r="CV801" s="260"/>
      <c r="CY801" s="260"/>
      <c r="DB801" s="260"/>
    </row>
    <row r="802" spans="1:106" s="144" customFormat="1" x14ac:dyDescent="0.25">
      <c r="A802" s="181"/>
      <c r="C802" s="133"/>
      <c r="L802" s="260"/>
      <c r="X802" s="260"/>
      <c r="Y802" s="170"/>
      <c r="AJ802" s="260"/>
      <c r="BD802" s="260"/>
      <c r="BY802" s="260"/>
      <c r="CJ802" s="260"/>
      <c r="CN802" s="170"/>
      <c r="CP802" s="260"/>
      <c r="CS802" s="260"/>
      <c r="CV802" s="260"/>
      <c r="CY802" s="260"/>
      <c r="DB802" s="260"/>
    </row>
    <row r="803" spans="1:106" s="144" customFormat="1" x14ac:dyDescent="0.25">
      <c r="A803" s="181"/>
      <c r="C803" s="133"/>
      <c r="L803" s="260"/>
      <c r="X803" s="260"/>
      <c r="Y803" s="170"/>
      <c r="AJ803" s="260"/>
      <c r="BD803" s="260"/>
      <c r="BY803" s="260"/>
      <c r="CJ803" s="260"/>
      <c r="CN803" s="170"/>
      <c r="CP803" s="260"/>
      <c r="CS803" s="260"/>
      <c r="CV803" s="260"/>
      <c r="CY803" s="260"/>
      <c r="DB803" s="260"/>
    </row>
    <row r="804" spans="1:106" s="144" customFormat="1" x14ac:dyDescent="0.25">
      <c r="A804" s="181"/>
      <c r="C804" s="133"/>
      <c r="L804" s="260"/>
      <c r="X804" s="260"/>
      <c r="Y804" s="170"/>
      <c r="AJ804" s="260"/>
      <c r="BD804" s="260"/>
      <c r="BY804" s="260"/>
      <c r="CJ804" s="260"/>
      <c r="CN804" s="170"/>
      <c r="CP804" s="260"/>
      <c r="CS804" s="260"/>
      <c r="CV804" s="260"/>
      <c r="CY804" s="260"/>
      <c r="DB804" s="260"/>
    </row>
    <row r="805" spans="1:106" s="144" customFormat="1" x14ac:dyDescent="0.25">
      <c r="A805" s="181"/>
      <c r="C805" s="133"/>
      <c r="L805" s="260"/>
      <c r="X805" s="260"/>
      <c r="Y805" s="170"/>
      <c r="AJ805" s="260"/>
      <c r="BD805" s="260"/>
      <c r="BY805" s="260"/>
      <c r="CJ805" s="260"/>
      <c r="CN805" s="170"/>
      <c r="CP805" s="260"/>
      <c r="CS805" s="260"/>
      <c r="CV805" s="260"/>
      <c r="CY805" s="260"/>
      <c r="DB805" s="260"/>
    </row>
    <row r="806" spans="1:106" s="144" customFormat="1" x14ac:dyDescent="0.25">
      <c r="A806" s="181"/>
      <c r="C806" s="133"/>
      <c r="L806" s="260"/>
      <c r="X806" s="260"/>
      <c r="Y806" s="170"/>
      <c r="AJ806" s="260"/>
      <c r="BD806" s="260"/>
      <c r="BY806" s="260"/>
      <c r="CJ806" s="260"/>
      <c r="CN806" s="170"/>
      <c r="CP806" s="260"/>
      <c r="CS806" s="260"/>
      <c r="CV806" s="260"/>
      <c r="CY806" s="260"/>
      <c r="DB806" s="260"/>
    </row>
    <row r="807" spans="1:106" s="144" customFormat="1" x14ac:dyDescent="0.25">
      <c r="A807" s="181"/>
      <c r="C807" s="133"/>
      <c r="L807" s="260"/>
      <c r="X807" s="260"/>
      <c r="Y807" s="170"/>
      <c r="AJ807" s="260"/>
      <c r="BD807" s="260"/>
      <c r="BY807" s="260"/>
      <c r="CJ807" s="260"/>
      <c r="CN807" s="170"/>
      <c r="CP807" s="260"/>
      <c r="CS807" s="260"/>
      <c r="CV807" s="260"/>
      <c r="CY807" s="260"/>
      <c r="DB807" s="260"/>
    </row>
    <row r="808" spans="1:106" s="144" customFormat="1" x14ac:dyDescent="0.25">
      <c r="A808" s="181"/>
      <c r="C808" s="133"/>
      <c r="L808" s="260"/>
      <c r="X808" s="260"/>
      <c r="Y808" s="170"/>
      <c r="AJ808" s="260"/>
      <c r="BD808" s="260"/>
      <c r="BY808" s="260"/>
      <c r="CJ808" s="260"/>
      <c r="CN808" s="170"/>
      <c r="CP808" s="260"/>
      <c r="CS808" s="260"/>
      <c r="CV808" s="260"/>
      <c r="CY808" s="260"/>
      <c r="DB808" s="260"/>
    </row>
    <row r="809" spans="1:106" s="144" customFormat="1" x14ac:dyDescent="0.25">
      <c r="A809" s="181"/>
      <c r="C809" s="133"/>
      <c r="L809" s="260"/>
      <c r="X809" s="260"/>
      <c r="Y809" s="170"/>
      <c r="AJ809" s="260"/>
      <c r="BD809" s="260"/>
      <c r="BY809" s="260"/>
      <c r="CJ809" s="260"/>
      <c r="CN809" s="170"/>
      <c r="CP809" s="260"/>
      <c r="CS809" s="260"/>
      <c r="CV809" s="260"/>
      <c r="CY809" s="260"/>
      <c r="DB809" s="260"/>
    </row>
    <row r="810" spans="1:106" s="144" customFormat="1" x14ac:dyDescent="0.25">
      <c r="A810" s="181"/>
      <c r="C810" s="133"/>
      <c r="L810" s="260"/>
      <c r="X810" s="260"/>
      <c r="Y810" s="170"/>
      <c r="AJ810" s="260"/>
      <c r="BD810" s="260"/>
      <c r="BY810" s="260"/>
      <c r="CJ810" s="260"/>
      <c r="CN810" s="170"/>
      <c r="CP810" s="260"/>
      <c r="CS810" s="260"/>
      <c r="CV810" s="260"/>
      <c r="CY810" s="260"/>
      <c r="DB810" s="260"/>
    </row>
    <row r="811" spans="1:106" s="144" customFormat="1" x14ac:dyDescent="0.25">
      <c r="A811" s="181"/>
      <c r="C811" s="133"/>
      <c r="L811" s="260"/>
      <c r="X811" s="260"/>
      <c r="Y811" s="170"/>
      <c r="AJ811" s="260"/>
      <c r="BD811" s="260"/>
      <c r="BY811" s="260"/>
      <c r="CJ811" s="260"/>
      <c r="CN811" s="170"/>
      <c r="CP811" s="260"/>
      <c r="CS811" s="260"/>
      <c r="CV811" s="260"/>
      <c r="CY811" s="260"/>
      <c r="DB811" s="260"/>
    </row>
    <row r="812" spans="1:106" s="144" customFormat="1" x14ac:dyDescent="0.25">
      <c r="A812" s="181"/>
      <c r="C812" s="133"/>
      <c r="L812" s="260"/>
      <c r="X812" s="260"/>
      <c r="Y812" s="170"/>
      <c r="AJ812" s="260"/>
      <c r="BD812" s="260"/>
      <c r="BY812" s="260"/>
      <c r="CJ812" s="260"/>
      <c r="CN812" s="170"/>
      <c r="CP812" s="260"/>
      <c r="CS812" s="260"/>
      <c r="CV812" s="260"/>
      <c r="CY812" s="260"/>
      <c r="DB812" s="260"/>
    </row>
    <row r="813" spans="1:106" s="144" customFormat="1" x14ac:dyDescent="0.25">
      <c r="A813" s="181"/>
      <c r="C813" s="133"/>
      <c r="L813" s="260"/>
      <c r="X813" s="260"/>
      <c r="Y813" s="170"/>
      <c r="AJ813" s="260"/>
      <c r="BD813" s="260"/>
      <c r="BY813" s="260"/>
      <c r="CJ813" s="260"/>
      <c r="CN813" s="170"/>
      <c r="CP813" s="260"/>
      <c r="CS813" s="260"/>
      <c r="CV813" s="260"/>
      <c r="CY813" s="260"/>
      <c r="DB813" s="260"/>
    </row>
    <row r="814" spans="1:106" s="144" customFormat="1" x14ac:dyDescent="0.25">
      <c r="A814" s="181"/>
      <c r="C814" s="133"/>
      <c r="L814" s="260"/>
      <c r="X814" s="260"/>
      <c r="Y814" s="170"/>
      <c r="AJ814" s="260"/>
      <c r="BD814" s="260"/>
      <c r="BY814" s="260"/>
      <c r="CJ814" s="260"/>
      <c r="CN814" s="170"/>
      <c r="CP814" s="260"/>
      <c r="CS814" s="260"/>
      <c r="CV814" s="260"/>
      <c r="CY814" s="260"/>
      <c r="DB814" s="260"/>
    </row>
    <row r="815" spans="1:106" s="144" customFormat="1" x14ac:dyDescent="0.25">
      <c r="A815" s="181"/>
      <c r="C815" s="133"/>
      <c r="L815" s="260"/>
      <c r="X815" s="260"/>
      <c r="Y815" s="170"/>
      <c r="AJ815" s="260"/>
      <c r="BD815" s="260"/>
      <c r="BY815" s="260"/>
      <c r="CJ815" s="260"/>
      <c r="CN815" s="170"/>
      <c r="CP815" s="260"/>
      <c r="CS815" s="260"/>
      <c r="CV815" s="260"/>
      <c r="CY815" s="260"/>
      <c r="DB815" s="260"/>
    </row>
    <row r="816" spans="1:106" s="144" customFormat="1" x14ac:dyDescent="0.25">
      <c r="A816" s="181"/>
      <c r="C816" s="133"/>
      <c r="L816" s="260"/>
      <c r="X816" s="260"/>
      <c r="Y816" s="170"/>
      <c r="AJ816" s="260"/>
      <c r="BD816" s="260"/>
      <c r="BY816" s="260"/>
      <c r="CJ816" s="260"/>
      <c r="CN816" s="170"/>
      <c r="CP816" s="260"/>
      <c r="CS816" s="260"/>
      <c r="CV816" s="260"/>
      <c r="CY816" s="260"/>
      <c r="DB816" s="260"/>
    </row>
    <row r="817" spans="1:106" s="144" customFormat="1" x14ac:dyDescent="0.25">
      <c r="A817" s="181"/>
      <c r="C817" s="133"/>
      <c r="L817" s="260"/>
      <c r="X817" s="260"/>
      <c r="Y817" s="170"/>
      <c r="AJ817" s="260"/>
      <c r="BD817" s="260"/>
      <c r="BY817" s="260"/>
      <c r="CJ817" s="260"/>
      <c r="CN817" s="170"/>
      <c r="CP817" s="260"/>
      <c r="CS817" s="260"/>
      <c r="CV817" s="260"/>
      <c r="CY817" s="260"/>
      <c r="DB817" s="260"/>
    </row>
    <row r="818" spans="1:106" s="144" customFormat="1" x14ac:dyDescent="0.25">
      <c r="A818" s="181"/>
      <c r="C818" s="133"/>
      <c r="L818" s="260"/>
      <c r="X818" s="260"/>
      <c r="Y818" s="170"/>
      <c r="AJ818" s="260"/>
      <c r="BD818" s="260"/>
      <c r="BY818" s="260"/>
      <c r="CJ818" s="260"/>
      <c r="CN818" s="170"/>
      <c r="CP818" s="260"/>
      <c r="CS818" s="260"/>
      <c r="CV818" s="260"/>
      <c r="CY818" s="260"/>
      <c r="DB818" s="260"/>
    </row>
    <row r="819" spans="1:106" s="144" customFormat="1" x14ac:dyDescent="0.25">
      <c r="A819" s="181"/>
      <c r="C819" s="133"/>
      <c r="L819" s="260"/>
      <c r="X819" s="260"/>
      <c r="Y819" s="170"/>
      <c r="AJ819" s="260"/>
      <c r="BD819" s="260"/>
      <c r="BY819" s="260"/>
      <c r="CJ819" s="260"/>
      <c r="CN819" s="170"/>
      <c r="CP819" s="260"/>
      <c r="CS819" s="260"/>
      <c r="CV819" s="260"/>
      <c r="CY819" s="260"/>
      <c r="DB819" s="260"/>
    </row>
    <row r="820" spans="1:106" s="144" customFormat="1" x14ac:dyDescent="0.25">
      <c r="A820" s="181"/>
      <c r="C820" s="133"/>
      <c r="L820" s="260"/>
      <c r="X820" s="260"/>
      <c r="Y820" s="170"/>
      <c r="AJ820" s="260"/>
      <c r="BD820" s="260"/>
      <c r="BY820" s="260"/>
      <c r="CJ820" s="260"/>
      <c r="CN820" s="170"/>
      <c r="CP820" s="260"/>
      <c r="CS820" s="260"/>
      <c r="CV820" s="260"/>
      <c r="CY820" s="260"/>
      <c r="DB820" s="260"/>
    </row>
    <row r="821" spans="1:106" s="144" customFormat="1" x14ac:dyDescent="0.25">
      <c r="A821" s="181"/>
      <c r="C821" s="133"/>
      <c r="L821" s="260"/>
      <c r="X821" s="260"/>
      <c r="Y821" s="170"/>
      <c r="AJ821" s="260"/>
      <c r="BD821" s="260"/>
      <c r="BY821" s="260"/>
      <c r="CJ821" s="260"/>
      <c r="CN821" s="170"/>
      <c r="CP821" s="260"/>
      <c r="CS821" s="260"/>
      <c r="CV821" s="260"/>
      <c r="CY821" s="260"/>
      <c r="DB821" s="260"/>
    </row>
    <row r="822" spans="1:106" s="144" customFormat="1" x14ac:dyDescent="0.25">
      <c r="A822" s="181"/>
      <c r="C822" s="133"/>
      <c r="L822" s="260"/>
      <c r="X822" s="260"/>
      <c r="Y822" s="170"/>
      <c r="AJ822" s="260"/>
      <c r="BD822" s="260"/>
      <c r="BY822" s="260"/>
      <c r="CJ822" s="260"/>
      <c r="CN822" s="170"/>
      <c r="CP822" s="260"/>
      <c r="CS822" s="260"/>
      <c r="CV822" s="260"/>
      <c r="CY822" s="260"/>
      <c r="DB822" s="260"/>
    </row>
    <row r="823" spans="1:106" s="144" customFormat="1" x14ac:dyDescent="0.25">
      <c r="A823" s="181"/>
      <c r="C823" s="133"/>
      <c r="L823" s="260"/>
      <c r="X823" s="260"/>
      <c r="Y823" s="170"/>
      <c r="AJ823" s="260"/>
      <c r="BD823" s="260"/>
      <c r="BY823" s="260"/>
      <c r="CJ823" s="260"/>
      <c r="CN823" s="170"/>
      <c r="CP823" s="260"/>
      <c r="CS823" s="260"/>
      <c r="CV823" s="260"/>
      <c r="CY823" s="260"/>
      <c r="DB823" s="260"/>
    </row>
    <row r="824" spans="1:106" s="144" customFormat="1" x14ac:dyDescent="0.25">
      <c r="A824" s="181"/>
      <c r="C824" s="133"/>
      <c r="L824" s="260"/>
      <c r="X824" s="260"/>
      <c r="Y824" s="170"/>
      <c r="AJ824" s="260"/>
      <c r="BD824" s="260"/>
      <c r="BY824" s="260"/>
      <c r="CJ824" s="260"/>
      <c r="CN824" s="170"/>
      <c r="CP824" s="260"/>
      <c r="CS824" s="260"/>
      <c r="CV824" s="260"/>
      <c r="CY824" s="260"/>
      <c r="DB824" s="260"/>
    </row>
    <row r="825" spans="1:106" s="144" customFormat="1" x14ac:dyDescent="0.25">
      <c r="A825" s="181"/>
      <c r="C825" s="133"/>
      <c r="L825" s="260"/>
      <c r="X825" s="260"/>
      <c r="Y825" s="170"/>
      <c r="AJ825" s="260"/>
      <c r="BD825" s="260"/>
      <c r="BY825" s="260"/>
      <c r="CJ825" s="260"/>
      <c r="CN825" s="170"/>
      <c r="CP825" s="260"/>
      <c r="CS825" s="260"/>
      <c r="CV825" s="260"/>
      <c r="CY825" s="260"/>
      <c r="DB825" s="260"/>
    </row>
    <row r="826" spans="1:106" s="144" customFormat="1" x14ac:dyDescent="0.25">
      <c r="A826" s="181"/>
      <c r="C826" s="133"/>
      <c r="L826" s="260"/>
      <c r="X826" s="260"/>
      <c r="Y826" s="170"/>
      <c r="AJ826" s="260"/>
      <c r="BD826" s="260"/>
      <c r="BY826" s="260"/>
      <c r="CJ826" s="260"/>
      <c r="CN826" s="170"/>
      <c r="CP826" s="260"/>
      <c r="CS826" s="260"/>
      <c r="CV826" s="260"/>
      <c r="CY826" s="260"/>
      <c r="DB826" s="260"/>
    </row>
    <row r="827" spans="1:106" s="144" customFormat="1" x14ac:dyDescent="0.25">
      <c r="A827" s="181"/>
      <c r="C827" s="133"/>
      <c r="L827" s="260"/>
      <c r="X827" s="260"/>
      <c r="Y827" s="170"/>
      <c r="AJ827" s="260"/>
      <c r="BD827" s="260"/>
      <c r="BY827" s="260"/>
      <c r="CJ827" s="260"/>
      <c r="CN827" s="170"/>
      <c r="CP827" s="260"/>
      <c r="CS827" s="260"/>
      <c r="CV827" s="260"/>
      <c r="CY827" s="260"/>
      <c r="DB827" s="260"/>
    </row>
    <row r="828" spans="1:106" s="144" customFormat="1" x14ac:dyDescent="0.25">
      <c r="A828" s="181"/>
      <c r="C828" s="133"/>
      <c r="L828" s="260"/>
      <c r="X828" s="260"/>
      <c r="Y828" s="170"/>
      <c r="AJ828" s="260"/>
      <c r="BD828" s="260"/>
      <c r="BY828" s="260"/>
      <c r="CJ828" s="260"/>
      <c r="CN828" s="170"/>
      <c r="CP828" s="260"/>
      <c r="CS828" s="260"/>
      <c r="CV828" s="260"/>
      <c r="CY828" s="260"/>
      <c r="DB828" s="260"/>
    </row>
    <row r="829" spans="1:106" s="144" customFormat="1" x14ac:dyDescent="0.25">
      <c r="A829" s="181"/>
      <c r="C829" s="133"/>
      <c r="L829" s="260"/>
      <c r="X829" s="260"/>
      <c r="Y829" s="170"/>
      <c r="AJ829" s="260"/>
      <c r="BD829" s="260"/>
      <c r="BY829" s="260"/>
      <c r="CJ829" s="260"/>
      <c r="CN829" s="170"/>
      <c r="CP829" s="260"/>
      <c r="CS829" s="260"/>
      <c r="CV829" s="260"/>
      <c r="CY829" s="260"/>
      <c r="DB829" s="260"/>
    </row>
    <row r="830" spans="1:106" s="144" customFormat="1" x14ac:dyDescent="0.25">
      <c r="A830" s="181"/>
      <c r="C830" s="133"/>
      <c r="L830" s="260"/>
      <c r="X830" s="260"/>
      <c r="Y830" s="170"/>
      <c r="AJ830" s="260"/>
      <c r="BD830" s="260"/>
      <c r="BY830" s="260"/>
      <c r="CJ830" s="260"/>
      <c r="CN830" s="170"/>
      <c r="CP830" s="260"/>
      <c r="CS830" s="260"/>
      <c r="CV830" s="260"/>
      <c r="CY830" s="260"/>
      <c r="DB830" s="260"/>
    </row>
    <row r="831" spans="1:106" s="144" customFormat="1" x14ac:dyDescent="0.25">
      <c r="A831" s="181"/>
      <c r="C831" s="133"/>
      <c r="L831" s="260"/>
      <c r="X831" s="260"/>
      <c r="Y831" s="170"/>
      <c r="AJ831" s="260"/>
      <c r="BD831" s="260"/>
      <c r="BY831" s="260"/>
      <c r="CJ831" s="260"/>
      <c r="CN831" s="170"/>
      <c r="CP831" s="260"/>
      <c r="CS831" s="260"/>
      <c r="CV831" s="260"/>
      <c r="CY831" s="260"/>
      <c r="DB831" s="260"/>
    </row>
    <row r="832" spans="1:106" s="144" customFormat="1" x14ac:dyDescent="0.25">
      <c r="A832" s="181"/>
      <c r="C832" s="133"/>
      <c r="L832" s="260"/>
      <c r="X832" s="260"/>
      <c r="Y832" s="170"/>
      <c r="AJ832" s="260"/>
      <c r="BD832" s="260"/>
      <c r="BY832" s="260"/>
      <c r="CJ832" s="260"/>
      <c r="CN832" s="170"/>
      <c r="CP832" s="260"/>
      <c r="CS832" s="260"/>
      <c r="CV832" s="260"/>
      <c r="CY832" s="260"/>
      <c r="DB832" s="260"/>
    </row>
    <row r="833" spans="1:106" s="144" customFormat="1" x14ac:dyDescent="0.25">
      <c r="A833" s="181"/>
      <c r="C833" s="133"/>
      <c r="L833" s="260"/>
      <c r="X833" s="260"/>
      <c r="Y833" s="170"/>
      <c r="AJ833" s="260"/>
      <c r="BD833" s="260"/>
      <c r="BY833" s="260"/>
      <c r="CJ833" s="260"/>
      <c r="CN833" s="170"/>
      <c r="CP833" s="260"/>
      <c r="CS833" s="260"/>
      <c r="CV833" s="260"/>
      <c r="CY833" s="260"/>
      <c r="DB833" s="260"/>
    </row>
    <row r="834" spans="1:106" s="144" customFormat="1" x14ac:dyDescent="0.25">
      <c r="A834" s="181"/>
      <c r="C834" s="133"/>
      <c r="L834" s="260"/>
      <c r="X834" s="260"/>
      <c r="Y834" s="170"/>
      <c r="AJ834" s="260"/>
      <c r="BD834" s="260"/>
      <c r="BY834" s="260"/>
      <c r="CJ834" s="260"/>
      <c r="CN834" s="170"/>
      <c r="CP834" s="260"/>
      <c r="CS834" s="260"/>
      <c r="CV834" s="260"/>
      <c r="CY834" s="260"/>
      <c r="DB834" s="260"/>
    </row>
    <row r="835" spans="1:106" s="144" customFormat="1" x14ac:dyDescent="0.25">
      <c r="A835" s="181"/>
      <c r="C835" s="133"/>
      <c r="L835" s="260"/>
      <c r="X835" s="260"/>
      <c r="Y835" s="170"/>
      <c r="AJ835" s="260"/>
      <c r="BD835" s="260"/>
      <c r="BY835" s="260"/>
      <c r="CJ835" s="260"/>
      <c r="CN835" s="170"/>
      <c r="CP835" s="260"/>
      <c r="CS835" s="260"/>
      <c r="CV835" s="260"/>
      <c r="CY835" s="260"/>
      <c r="DB835" s="260"/>
    </row>
    <row r="836" spans="1:106" s="144" customFormat="1" x14ac:dyDescent="0.25">
      <c r="A836" s="181"/>
      <c r="C836" s="133"/>
      <c r="L836" s="260"/>
      <c r="X836" s="260"/>
      <c r="Y836" s="170"/>
      <c r="AJ836" s="260"/>
      <c r="BD836" s="260"/>
      <c r="BY836" s="260"/>
      <c r="CJ836" s="260"/>
      <c r="CN836" s="170"/>
      <c r="CP836" s="260"/>
      <c r="CS836" s="260"/>
      <c r="CV836" s="260"/>
      <c r="CY836" s="260"/>
      <c r="DB836" s="260"/>
    </row>
    <row r="837" spans="1:106" s="144" customFormat="1" x14ac:dyDescent="0.25">
      <c r="A837" s="181"/>
      <c r="C837" s="133"/>
      <c r="L837" s="260"/>
      <c r="X837" s="260"/>
      <c r="Y837" s="170"/>
      <c r="AJ837" s="260"/>
      <c r="BD837" s="260"/>
      <c r="BY837" s="260"/>
      <c r="CJ837" s="260"/>
      <c r="CN837" s="170"/>
      <c r="CP837" s="260"/>
      <c r="CS837" s="260"/>
      <c r="CV837" s="260"/>
      <c r="CY837" s="260"/>
      <c r="DB837" s="260"/>
    </row>
    <row r="838" spans="1:106" s="144" customFormat="1" x14ac:dyDescent="0.25">
      <c r="A838" s="181"/>
      <c r="C838" s="133"/>
      <c r="L838" s="260"/>
      <c r="X838" s="260"/>
      <c r="Y838" s="170"/>
      <c r="AJ838" s="260"/>
      <c r="BD838" s="260"/>
      <c r="BY838" s="260"/>
      <c r="CJ838" s="260"/>
      <c r="CN838" s="170"/>
      <c r="CP838" s="260"/>
      <c r="CS838" s="260"/>
      <c r="CV838" s="260"/>
      <c r="CY838" s="260"/>
      <c r="DB838" s="260"/>
    </row>
    <row r="839" spans="1:106" s="144" customFormat="1" x14ac:dyDescent="0.25">
      <c r="A839" s="181"/>
      <c r="C839" s="133"/>
      <c r="L839" s="260"/>
      <c r="X839" s="260"/>
      <c r="Y839" s="170"/>
      <c r="AJ839" s="260"/>
      <c r="BD839" s="260"/>
      <c r="BY839" s="260"/>
      <c r="CJ839" s="260"/>
      <c r="CN839" s="170"/>
      <c r="CP839" s="260"/>
      <c r="CS839" s="260"/>
      <c r="CV839" s="260"/>
      <c r="CY839" s="260"/>
      <c r="DB839" s="260"/>
    </row>
    <row r="840" spans="1:106" s="144" customFormat="1" x14ac:dyDescent="0.25">
      <c r="A840" s="181"/>
      <c r="C840" s="133"/>
      <c r="L840" s="260"/>
      <c r="X840" s="260"/>
      <c r="Y840" s="170"/>
      <c r="AJ840" s="260"/>
      <c r="BD840" s="260"/>
      <c r="BY840" s="260"/>
      <c r="CJ840" s="260"/>
      <c r="CN840" s="170"/>
      <c r="CP840" s="260"/>
      <c r="CS840" s="260"/>
      <c r="CV840" s="260"/>
      <c r="CY840" s="260"/>
      <c r="DB840" s="260"/>
    </row>
    <row r="841" spans="1:106" s="144" customFormat="1" x14ac:dyDescent="0.25">
      <c r="A841" s="181"/>
      <c r="C841" s="133"/>
      <c r="L841" s="260"/>
      <c r="X841" s="260"/>
      <c r="Y841" s="170"/>
      <c r="AJ841" s="260"/>
      <c r="BD841" s="260"/>
      <c r="BY841" s="260"/>
      <c r="CJ841" s="260"/>
      <c r="CN841" s="170"/>
      <c r="CP841" s="260"/>
      <c r="CS841" s="260"/>
      <c r="CV841" s="260"/>
      <c r="CY841" s="260"/>
      <c r="DB841" s="260"/>
    </row>
    <row r="842" spans="1:106" s="144" customFormat="1" x14ac:dyDescent="0.25">
      <c r="A842" s="181"/>
      <c r="C842" s="133"/>
      <c r="L842" s="260"/>
      <c r="X842" s="260"/>
      <c r="Y842" s="170"/>
      <c r="AJ842" s="260"/>
      <c r="BD842" s="260"/>
      <c r="BY842" s="260"/>
      <c r="CJ842" s="260"/>
      <c r="CN842" s="170"/>
      <c r="CP842" s="260"/>
      <c r="CS842" s="260"/>
      <c r="CV842" s="260"/>
      <c r="CY842" s="260"/>
      <c r="DB842" s="260"/>
    </row>
    <row r="843" spans="1:106" s="144" customFormat="1" x14ac:dyDescent="0.25">
      <c r="A843" s="181"/>
      <c r="C843" s="133"/>
      <c r="L843" s="260"/>
      <c r="X843" s="260"/>
      <c r="Y843" s="170"/>
      <c r="AJ843" s="260"/>
      <c r="BD843" s="260"/>
      <c r="BY843" s="260"/>
      <c r="CJ843" s="260"/>
      <c r="CN843" s="170"/>
      <c r="CP843" s="260"/>
      <c r="CS843" s="260"/>
      <c r="CV843" s="260"/>
      <c r="CY843" s="260"/>
      <c r="DB843" s="260"/>
    </row>
    <row r="844" spans="1:106" s="144" customFormat="1" x14ac:dyDescent="0.25">
      <c r="A844" s="181"/>
      <c r="C844" s="133"/>
      <c r="L844" s="260"/>
      <c r="X844" s="260"/>
      <c r="Y844" s="170"/>
      <c r="AJ844" s="260"/>
      <c r="BD844" s="260"/>
      <c r="BY844" s="260"/>
      <c r="CJ844" s="260"/>
      <c r="CN844" s="170"/>
      <c r="CP844" s="260"/>
      <c r="CS844" s="260"/>
      <c r="CV844" s="260"/>
      <c r="CY844" s="260"/>
      <c r="DB844" s="260"/>
    </row>
    <row r="845" spans="1:106" s="144" customFormat="1" x14ac:dyDescent="0.25">
      <c r="A845" s="181"/>
      <c r="C845" s="133"/>
      <c r="L845" s="260"/>
      <c r="X845" s="260"/>
      <c r="Y845" s="170"/>
      <c r="AJ845" s="260"/>
      <c r="BD845" s="260"/>
      <c r="BY845" s="260"/>
      <c r="CJ845" s="260"/>
      <c r="CN845" s="170"/>
      <c r="CP845" s="260"/>
      <c r="CS845" s="260"/>
      <c r="CV845" s="260"/>
      <c r="CY845" s="260"/>
      <c r="DB845" s="260"/>
    </row>
    <row r="846" spans="1:106" s="144" customFormat="1" x14ac:dyDescent="0.25">
      <c r="A846" s="181"/>
      <c r="C846" s="133"/>
      <c r="L846" s="260"/>
      <c r="X846" s="260"/>
      <c r="Y846" s="170"/>
      <c r="AJ846" s="260"/>
      <c r="BD846" s="260"/>
      <c r="BY846" s="260"/>
      <c r="CJ846" s="260"/>
      <c r="CN846" s="170"/>
      <c r="CP846" s="260"/>
      <c r="CS846" s="260"/>
      <c r="CV846" s="260"/>
      <c r="CY846" s="260"/>
      <c r="DB846" s="260"/>
    </row>
    <row r="847" spans="1:106" s="144" customFormat="1" x14ac:dyDescent="0.25">
      <c r="A847" s="181"/>
      <c r="C847" s="133"/>
      <c r="L847" s="260"/>
      <c r="X847" s="260"/>
      <c r="Y847" s="170"/>
      <c r="AJ847" s="260"/>
      <c r="BD847" s="260"/>
      <c r="BY847" s="260"/>
      <c r="CJ847" s="260"/>
      <c r="CN847" s="170"/>
      <c r="CP847" s="260"/>
      <c r="CS847" s="260"/>
      <c r="CV847" s="260"/>
      <c r="CY847" s="260"/>
      <c r="DB847" s="260"/>
    </row>
    <row r="848" spans="1:106" s="144" customFormat="1" x14ac:dyDescent="0.25">
      <c r="A848" s="181"/>
      <c r="C848" s="133"/>
      <c r="L848" s="260"/>
      <c r="X848" s="260"/>
      <c r="Y848" s="170"/>
      <c r="AJ848" s="260"/>
      <c r="BD848" s="260"/>
      <c r="BY848" s="260"/>
      <c r="CJ848" s="260"/>
      <c r="CN848" s="170"/>
      <c r="CP848" s="260"/>
      <c r="CS848" s="260"/>
      <c r="CV848" s="260"/>
      <c r="CY848" s="260"/>
      <c r="DB848" s="260"/>
    </row>
    <row r="849" spans="1:106" s="144" customFormat="1" x14ac:dyDescent="0.25">
      <c r="A849" s="181"/>
      <c r="C849" s="133"/>
      <c r="L849" s="260"/>
      <c r="X849" s="260"/>
      <c r="Y849" s="170"/>
      <c r="AJ849" s="260"/>
      <c r="BD849" s="260"/>
      <c r="BY849" s="260"/>
      <c r="CJ849" s="260"/>
      <c r="CN849" s="170"/>
      <c r="CP849" s="260"/>
      <c r="CS849" s="260"/>
      <c r="CV849" s="260"/>
      <c r="CY849" s="260"/>
      <c r="DB849" s="260"/>
    </row>
    <row r="850" spans="1:106" s="144" customFormat="1" x14ac:dyDescent="0.25">
      <c r="A850" s="181"/>
      <c r="C850" s="133"/>
      <c r="L850" s="260"/>
      <c r="X850" s="260"/>
      <c r="Y850" s="170"/>
      <c r="AJ850" s="260"/>
      <c r="BD850" s="260"/>
      <c r="BY850" s="260"/>
      <c r="CJ850" s="260"/>
      <c r="CN850" s="170"/>
      <c r="CP850" s="260"/>
      <c r="CS850" s="260"/>
      <c r="CV850" s="260"/>
      <c r="CY850" s="260"/>
      <c r="DB850" s="260"/>
    </row>
    <row r="851" spans="1:106" s="144" customFormat="1" x14ac:dyDescent="0.25">
      <c r="A851" s="181"/>
      <c r="C851" s="133"/>
      <c r="L851" s="260"/>
      <c r="X851" s="260"/>
      <c r="Y851" s="170"/>
      <c r="AJ851" s="260"/>
      <c r="BD851" s="260"/>
      <c r="BY851" s="260"/>
      <c r="CJ851" s="260"/>
      <c r="CN851" s="170"/>
      <c r="CP851" s="260"/>
      <c r="CS851" s="260"/>
      <c r="CV851" s="260"/>
      <c r="CY851" s="260"/>
      <c r="DB851" s="260"/>
    </row>
    <row r="852" spans="1:106" s="144" customFormat="1" x14ac:dyDescent="0.25">
      <c r="A852" s="181"/>
      <c r="C852" s="133"/>
      <c r="L852" s="260"/>
      <c r="X852" s="260"/>
      <c r="Y852" s="170"/>
      <c r="AJ852" s="260"/>
      <c r="BD852" s="260"/>
      <c r="BY852" s="260"/>
      <c r="CJ852" s="260"/>
      <c r="CN852" s="170"/>
      <c r="CP852" s="260"/>
      <c r="CS852" s="260"/>
      <c r="CV852" s="260"/>
      <c r="CY852" s="260"/>
      <c r="DB852" s="260"/>
    </row>
    <row r="853" spans="1:106" s="144" customFormat="1" x14ac:dyDescent="0.25">
      <c r="A853" s="181"/>
      <c r="C853" s="133"/>
      <c r="L853" s="260"/>
      <c r="X853" s="260"/>
      <c r="Y853" s="170"/>
      <c r="AJ853" s="260"/>
      <c r="BD853" s="260"/>
      <c r="BY853" s="260"/>
      <c r="CJ853" s="260"/>
      <c r="CN853" s="170"/>
      <c r="CP853" s="260"/>
      <c r="CS853" s="260"/>
      <c r="CV853" s="260"/>
      <c r="CY853" s="260"/>
      <c r="DB853" s="260"/>
    </row>
    <row r="854" spans="1:106" s="144" customFormat="1" x14ac:dyDescent="0.25">
      <c r="A854" s="181"/>
      <c r="C854" s="133"/>
      <c r="L854" s="260"/>
      <c r="X854" s="260"/>
      <c r="Y854" s="170"/>
      <c r="AJ854" s="260"/>
      <c r="BD854" s="260"/>
      <c r="BY854" s="260"/>
      <c r="CJ854" s="260"/>
      <c r="CN854" s="170"/>
      <c r="CP854" s="260"/>
      <c r="CS854" s="260"/>
      <c r="CV854" s="260"/>
      <c r="CY854" s="260"/>
      <c r="DB854" s="260"/>
    </row>
    <row r="855" spans="1:106" s="144" customFormat="1" x14ac:dyDescent="0.25">
      <c r="A855" s="181"/>
      <c r="C855" s="133"/>
      <c r="L855" s="260"/>
      <c r="X855" s="260"/>
      <c r="Y855" s="170"/>
      <c r="AJ855" s="260"/>
      <c r="BD855" s="260"/>
      <c r="BY855" s="260"/>
      <c r="CJ855" s="260"/>
      <c r="CN855" s="170"/>
      <c r="CP855" s="260"/>
      <c r="CS855" s="260"/>
      <c r="CV855" s="260"/>
      <c r="CY855" s="260"/>
      <c r="DB855" s="260"/>
    </row>
    <row r="856" spans="1:106" s="144" customFormat="1" x14ac:dyDescent="0.25">
      <c r="A856" s="181"/>
      <c r="C856" s="133"/>
      <c r="L856" s="260"/>
      <c r="X856" s="260"/>
      <c r="Y856" s="170"/>
      <c r="AJ856" s="260"/>
      <c r="BD856" s="260"/>
      <c r="BY856" s="260"/>
      <c r="CJ856" s="260"/>
      <c r="CN856" s="170"/>
      <c r="CP856" s="260"/>
      <c r="CS856" s="260"/>
      <c r="CV856" s="260"/>
      <c r="CY856" s="260"/>
      <c r="DB856" s="260"/>
    </row>
    <row r="857" spans="1:106" s="144" customFormat="1" x14ac:dyDescent="0.25">
      <c r="A857" s="181"/>
      <c r="C857" s="133"/>
      <c r="L857" s="260"/>
      <c r="X857" s="260"/>
      <c r="Y857" s="170"/>
      <c r="AJ857" s="260"/>
      <c r="BD857" s="260"/>
      <c r="BY857" s="260"/>
      <c r="CJ857" s="260"/>
      <c r="CN857" s="170"/>
      <c r="CP857" s="260"/>
      <c r="CS857" s="260"/>
      <c r="CV857" s="260"/>
      <c r="CY857" s="260"/>
      <c r="DB857" s="260"/>
    </row>
    <row r="858" spans="1:106" s="144" customFormat="1" x14ac:dyDescent="0.25">
      <c r="A858" s="181"/>
      <c r="C858" s="133"/>
      <c r="L858" s="260"/>
      <c r="X858" s="260"/>
      <c r="Y858" s="170"/>
      <c r="AJ858" s="260"/>
      <c r="BD858" s="260"/>
      <c r="BY858" s="260"/>
      <c r="CJ858" s="260"/>
      <c r="CN858" s="170"/>
      <c r="CP858" s="260"/>
      <c r="CS858" s="260"/>
      <c r="CV858" s="260"/>
      <c r="CY858" s="260"/>
      <c r="DB858" s="260"/>
    </row>
    <row r="859" spans="1:106" s="144" customFormat="1" x14ac:dyDescent="0.25">
      <c r="A859" s="181"/>
      <c r="C859" s="133"/>
      <c r="L859" s="260"/>
      <c r="X859" s="260"/>
      <c r="Y859" s="170"/>
      <c r="AJ859" s="260"/>
      <c r="BD859" s="260"/>
      <c r="BY859" s="260"/>
      <c r="CJ859" s="260"/>
      <c r="CN859" s="170"/>
      <c r="CP859" s="260"/>
      <c r="CS859" s="260"/>
      <c r="CV859" s="260"/>
      <c r="CY859" s="260"/>
      <c r="DB859" s="260"/>
    </row>
    <row r="860" spans="1:106" s="144" customFormat="1" x14ac:dyDescent="0.25">
      <c r="A860" s="181"/>
      <c r="C860" s="133"/>
      <c r="L860" s="260"/>
      <c r="X860" s="260"/>
      <c r="Y860" s="170"/>
      <c r="AJ860" s="260"/>
      <c r="BD860" s="260"/>
      <c r="BY860" s="260"/>
      <c r="CJ860" s="260"/>
      <c r="CN860" s="170"/>
      <c r="CP860" s="260"/>
      <c r="CS860" s="260"/>
      <c r="CV860" s="260"/>
      <c r="CY860" s="260"/>
      <c r="DB860" s="260"/>
    </row>
    <row r="861" spans="1:106" s="144" customFormat="1" x14ac:dyDescent="0.25">
      <c r="A861" s="181"/>
      <c r="C861" s="133"/>
      <c r="L861" s="260"/>
      <c r="X861" s="260"/>
      <c r="Y861" s="170"/>
      <c r="AJ861" s="260"/>
      <c r="BD861" s="260"/>
      <c r="BY861" s="260"/>
      <c r="CJ861" s="260"/>
      <c r="CN861" s="170"/>
      <c r="CP861" s="260"/>
      <c r="CS861" s="260"/>
      <c r="CV861" s="260"/>
      <c r="CY861" s="260"/>
      <c r="DB861" s="260"/>
    </row>
    <row r="862" spans="1:106" s="144" customFormat="1" x14ac:dyDescent="0.25">
      <c r="A862" s="181"/>
      <c r="C862" s="133"/>
      <c r="L862" s="260"/>
      <c r="X862" s="260"/>
      <c r="Y862" s="170"/>
      <c r="AJ862" s="260"/>
      <c r="BD862" s="260"/>
      <c r="BY862" s="260"/>
      <c r="CJ862" s="260"/>
      <c r="CN862" s="170"/>
      <c r="CP862" s="260"/>
      <c r="CS862" s="260"/>
      <c r="CV862" s="260"/>
      <c r="CY862" s="260"/>
      <c r="DB862" s="260"/>
    </row>
    <row r="863" spans="1:106" s="144" customFormat="1" x14ac:dyDescent="0.25">
      <c r="A863" s="181"/>
      <c r="C863" s="133"/>
      <c r="L863" s="260"/>
      <c r="X863" s="260"/>
      <c r="Y863" s="170"/>
      <c r="AJ863" s="260"/>
      <c r="BD863" s="260"/>
      <c r="BY863" s="260"/>
      <c r="CJ863" s="260"/>
      <c r="CN863" s="170"/>
      <c r="CP863" s="260"/>
      <c r="CS863" s="260"/>
      <c r="CV863" s="260"/>
      <c r="CY863" s="260"/>
      <c r="DB863" s="260"/>
    </row>
    <row r="864" spans="1:106" s="144" customFormat="1" x14ac:dyDescent="0.25">
      <c r="A864" s="181"/>
      <c r="C864" s="133"/>
      <c r="L864" s="260"/>
      <c r="X864" s="260"/>
      <c r="Y864" s="170"/>
      <c r="AJ864" s="260"/>
      <c r="BD864" s="260"/>
      <c r="BY864" s="260"/>
      <c r="CJ864" s="260"/>
      <c r="CN864" s="170"/>
      <c r="CP864" s="260"/>
      <c r="CS864" s="260"/>
      <c r="CV864" s="260"/>
      <c r="CY864" s="260"/>
      <c r="DB864" s="260"/>
    </row>
    <row r="865" spans="1:106" s="144" customFormat="1" x14ac:dyDescent="0.25">
      <c r="A865" s="181"/>
      <c r="C865" s="133"/>
      <c r="L865" s="260"/>
      <c r="X865" s="260"/>
      <c r="Y865" s="170"/>
      <c r="AJ865" s="260"/>
      <c r="BD865" s="260"/>
      <c r="BY865" s="260"/>
      <c r="CJ865" s="260"/>
      <c r="CN865" s="170"/>
      <c r="CP865" s="260"/>
      <c r="CS865" s="260"/>
      <c r="CV865" s="260"/>
      <c r="CY865" s="260"/>
      <c r="DB865" s="260"/>
    </row>
    <row r="866" spans="1:106" s="144" customFormat="1" x14ac:dyDescent="0.25">
      <c r="A866" s="181"/>
      <c r="C866" s="133"/>
      <c r="L866" s="260"/>
      <c r="X866" s="260"/>
      <c r="Y866" s="170"/>
      <c r="AJ866" s="260"/>
      <c r="BD866" s="260"/>
      <c r="BY866" s="260"/>
      <c r="CJ866" s="260"/>
      <c r="CN866" s="170"/>
      <c r="CP866" s="260"/>
      <c r="CS866" s="260"/>
      <c r="CV866" s="260"/>
      <c r="CY866" s="260"/>
      <c r="DB866" s="260"/>
    </row>
    <row r="867" spans="1:106" s="144" customFormat="1" x14ac:dyDescent="0.25">
      <c r="A867" s="181"/>
      <c r="C867" s="133"/>
      <c r="L867" s="260"/>
      <c r="X867" s="260"/>
      <c r="Y867" s="170"/>
      <c r="AJ867" s="260"/>
      <c r="BD867" s="260"/>
      <c r="BY867" s="260"/>
      <c r="CJ867" s="260"/>
      <c r="CN867" s="170"/>
      <c r="CP867" s="260"/>
      <c r="CS867" s="260"/>
      <c r="CV867" s="260"/>
      <c r="CY867" s="260"/>
      <c r="DB867" s="260"/>
    </row>
    <row r="868" spans="1:106" s="144" customFormat="1" x14ac:dyDescent="0.25">
      <c r="A868" s="181"/>
      <c r="C868" s="133"/>
      <c r="L868" s="260"/>
      <c r="X868" s="260"/>
      <c r="Y868" s="170"/>
      <c r="AJ868" s="260"/>
      <c r="BD868" s="260"/>
      <c r="BY868" s="260"/>
      <c r="CJ868" s="260"/>
      <c r="CN868" s="170"/>
      <c r="CP868" s="260"/>
      <c r="CS868" s="260"/>
      <c r="CV868" s="260"/>
      <c r="CY868" s="260"/>
      <c r="DB868" s="260"/>
    </row>
    <row r="869" spans="1:106" s="144" customFormat="1" x14ac:dyDescent="0.25">
      <c r="A869" s="181"/>
      <c r="C869" s="133"/>
      <c r="L869" s="260"/>
      <c r="X869" s="260"/>
      <c r="Y869" s="170"/>
      <c r="AJ869" s="260"/>
      <c r="BD869" s="260"/>
      <c r="BY869" s="260"/>
      <c r="CJ869" s="260"/>
      <c r="CN869" s="170"/>
      <c r="CP869" s="260"/>
      <c r="CS869" s="260"/>
      <c r="CV869" s="260"/>
      <c r="CY869" s="260"/>
      <c r="DB869" s="260"/>
    </row>
    <row r="870" spans="1:106" s="144" customFormat="1" x14ac:dyDescent="0.25">
      <c r="A870" s="181"/>
      <c r="C870" s="133"/>
      <c r="L870" s="260"/>
      <c r="X870" s="260"/>
      <c r="Y870" s="170"/>
      <c r="AJ870" s="260"/>
      <c r="BD870" s="260"/>
      <c r="BY870" s="260"/>
      <c r="CJ870" s="260"/>
      <c r="CN870" s="170"/>
      <c r="CP870" s="260"/>
      <c r="CS870" s="260"/>
      <c r="CV870" s="260"/>
      <c r="CY870" s="260"/>
      <c r="DB870" s="260"/>
    </row>
    <row r="871" spans="1:106" s="144" customFormat="1" x14ac:dyDescent="0.25">
      <c r="A871" s="181"/>
      <c r="C871" s="133"/>
      <c r="L871" s="260"/>
      <c r="X871" s="260"/>
      <c r="Y871" s="170"/>
      <c r="AJ871" s="260"/>
      <c r="BD871" s="260"/>
      <c r="BY871" s="260"/>
      <c r="CJ871" s="260"/>
      <c r="CN871" s="170"/>
      <c r="CP871" s="260"/>
      <c r="CS871" s="260"/>
      <c r="CV871" s="260"/>
      <c r="CY871" s="260"/>
      <c r="DB871" s="260"/>
    </row>
    <row r="872" spans="1:106" s="144" customFormat="1" x14ac:dyDescent="0.25">
      <c r="A872" s="181"/>
      <c r="C872" s="133"/>
      <c r="L872" s="260"/>
      <c r="X872" s="260"/>
      <c r="Y872" s="170"/>
      <c r="AJ872" s="260"/>
      <c r="BD872" s="260"/>
      <c r="BY872" s="260"/>
      <c r="CJ872" s="260"/>
      <c r="CN872" s="170"/>
      <c r="CP872" s="260"/>
      <c r="CS872" s="260"/>
      <c r="CV872" s="260"/>
      <c r="CY872" s="260"/>
      <c r="DB872" s="260"/>
    </row>
    <row r="873" spans="1:106" s="144" customFormat="1" x14ac:dyDescent="0.25">
      <c r="A873" s="181"/>
      <c r="C873" s="133"/>
      <c r="L873" s="260"/>
      <c r="X873" s="260"/>
      <c r="Y873" s="170"/>
      <c r="AJ873" s="260"/>
      <c r="BD873" s="260"/>
      <c r="BY873" s="260"/>
      <c r="CJ873" s="260"/>
      <c r="CN873" s="170"/>
      <c r="CP873" s="260"/>
      <c r="CS873" s="260"/>
      <c r="CV873" s="260"/>
      <c r="CY873" s="260"/>
      <c r="DB873" s="260"/>
    </row>
    <row r="874" spans="1:106" s="144" customFormat="1" x14ac:dyDescent="0.25">
      <c r="A874" s="181"/>
      <c r="C874" s="133"/>
      <c r="L874" s="260"/>
      <c r="X874" s="260"/>
      <c r="Y874" s="170"/>
      <c r="AJ874" s="260"/>
      <c r="BD874" s="260"/>
      <c r="BY874" s="260"/>
      <c r="CJ874" s="260"/>
      <c r="CN874" s="170"/>
      <c r="CP874" s="260"/>
      <c r="CS874" s="260"/>
      <c r="CV874" s="260"/>
      <c r="CY874" s="260"/>
      <c r="DB874" s="260"/>
    </row>
    <row r="875" spans="1:106" s="144" customFormat="1" x14ac:dyDescent="0.25">
      <c r="A875" s="181"/>
      <c r="C875" s="133"/>
      <c r="L875" s="260"/>
      <c r="X875" s="260"/>
      <c r="Y875" s="170"/>
      <c r="AJ875" s="260"/>
      <c r="BD875" s="260"/>
      <c r="BY875" s="260"/>
      <c r="CJ875" s="260"/>
      <c r="CN875" s="170"/>
      <c r="CP875" s="260"/>
      <c r="CS875" s="260"/>
      <c r="CV875" s="260"/>
      <c r="CY875" s="260"/>
      <c r="DB875" s="260"/>
    </row>
    <row r="876" spans="1:106" s="144" customFormat="1" x14ac:dyDescent="0.25">
      <c r="A876" s="181"/>
      <c r="C876" s="133"/>
      <c r="L876" s="260"/>
      <c r="X876" s="260"/>
      <c r="Y876" s="170"/>
      <c r="AJ876" s="260"/>
      <c r="BD876" s="260"/>
      <c r="BY876" s="260"/>
      <c r="CJ876" s="260"/>
      <c r="CN876" s="170"/>
      <c r="CP876" s="260"/>
      <c r="CS876" s="260"/>
      <c r="CV876" s="260"/>
      <c r="CY876" s="260"/>
      <c r="DB876" s="260"/>
    </row>
    <row r="877" spans="1:106" s="144" customFormat="1" x14ac:dyDescent="0.25">
      <c r="A877" s="181"/>
      <c r="C877" s="133"/>
      <c r="L877" s="260"/>
      <c r="X877" s="260"/>
      <c r="Y877" s="170"/>
      <c r="AJ877" s="260"/>
      <c r="BD877" s="260"/>
      <c r="BY877" s="260"/>
      <c r="CJ877" s="260"/>
      <c r="CN877" s="170"/>
      <c r="CP877" s="260"/>
      <c r="CS877" s="260"/>
      <c r="CV877" s="260"/>
      <c r="CY877" s="260"/>
      <c r="DB877" s="260"/>
    </row>
    <row r="878" spans="1:106" s="144" customFormat="1" x14ac:dyDescent="0.25">
      <c r="A878" s="181"/>
      <c r="C878" s="133"/>
      <c r="L878" s="260"/>
      <c r="X878" s="260"/>
      <c r="Y878" s="170"/>
      <c r="AJ878" s="260"/>
      <c r="BD878" s="260"/>
      <c r="BY878" s="260"/>
      <c r="CJ878" s="260"/>
      <c r="CN878" s="170"/>
      <c r="CP878" s="260"/>
      <c r="CS878" s="260"/>
      <c r="CV878" s="260"/>
      <c r="CY878" s="260"/>
      <c r="DB878" s="260"/>
    </row>
    <row r="879" spans="1:106" s="144" customFormat="1" x14ac:dyDescent="0.25">
      <c r="A879" s="181"/>
      <c r="C879" s="133"/>
      <c r="L879" s="260"/>
      <c r="X879" s="260"/>
      <c r="Y879" s="170"/>
      <c r="AJ879" s="260"/>
      <c r="BD879" s="260"/>
      <c r="BY879" s="260"/>
      <c r="CJ879" s="260"/>
      <c r="CN879" s="170"/>
      <c r="CP879" s="260"/>
      <c r="CS879" s="260"/>
      <c r="CV879" s="260"/>
      <c r="CY879" s="260"/>
      <c r="DB879" s="260"/>
    </row>
    <row r="880" spans="1:106" s="144" customFormat="1" x14ac:dyDescent="0.25">
      <c r="A880" s="181"/>
      <c r="C880" s="133"/>
      <c r="L880" s="260"/>
      <c r="X880" s="260"/>
      <c r="Y880" s="170"/>
      <c r="AJ880" s="260"/>
      <c r="BD880" s="260"/>
      <c r="BY880" s="260"/>
      <c r="CJ880" s="260"/>
      <c r="CN880" s="170"/>
      <c r="CP880" s="260"/>
      <c r="CS880" s="260"/>
      <c r="CV880" s="260"/>
      <c r="CY880" s="260"/>
      <c r="DB880" s="260"/>
    </row>
    <row r="881" spans="1:106" s="144" customFormat="1" x14ac:dyDescent="0.25">
      <c r="A881" s="181"/>
      <c r="C881" s="133"/>
      <c r="L881" s="260"/>
      <c r="X881" s="260"/>
      <c r="Y881" s="170"/>
      <c r="AJ881" s="260"/>
      <c r="BD881" s="260"/>
      <c r="BY881" s="260"/>
      <c r="CJ881" s="260"/>
      <c r="CN881" s="170"/>
      <c r="CP881" s="260"/>
      <c r="CS881" s="260"/>
      <c r="CV881" s="260"/>
      <c r="CY881" s="260"/>
      <c r="DB881" s="260"/>
    </row>
    <row r="882" spans="1:106" s="144" customFormat="1" x14ac:dyDescent="0.25">
      <c r="A882" s="181"/>
      <c r="C882" s="133"/>
      <c r="L882" s="260"/>
      <c r="X882" s="260"/>
      <c r="Y882" s="170"/>
      <c r="AJ882" s="260"/>
      <c r="BD882" s="260"/>
      <c r="BY882" s="260"/>
      <c r="CJ882" s="260"/>
      <c r="CN882" s="170"/>
      <c r="CP882" s="260"/>
      <c r="CS882" s="260"/>
      <c r="CV882" s="260"/>
      <c r="CY882" s="260"/>
      <c r="DB882" s="260"/>
    </row>
    <row r="883" spans="1:106" s="144" customFormat="1" x14ac:dyDescent="0.25">
      <c r="A883" s="181"/>
      <c r="C883" s="133"/>
      <c r="L883" s="260"/>
      <c r="X883" s="260"/>
      <c r="Y883" s="170"/>
      <c r="AJ883" s="260"/>
      <c r="BD883" s="260"/>
      <c r="BY883" s="260"/>
      <c r="CJ883" s="260"/>
      <c r="CN883" s="170"/>
      <c r="CP883" s="260"/>
      <c r="CS883" s="260"/>
      <c r="CV883" s="260"/>
      <c r="CY883" s="260"/>
      <c r="DB883" s="260"/>
    </row>
    <row r="884" spans="1:106" s="144" customFormat="1" x14ac:dyDescent="0.25">
      <c r="A884" s="181"/>
      <c r="C884" s="133"/>
      <c r="L884" s="260"/>
      <c r="X884" s="260"/>
      <c r="Y884" s="170"/>
      <c r="AJ884" s="260"/>
      <c r="BD884" s="260"/>
      <c r="BY884" s="260"/>
      <c r="CJ884" s="260"/>
      <c r="CN884" s="170"/>
      <c r="CP884" s="260"/>
      <c r="CS884" s="260"/>
      <c r="CV884" s="260"/>
      <c r="CY884" s="260"/>
      <c r="DB884" s="260"/>
    </row>
    <row r="885" spans="1:106" s="144" customFormat="1" x14ac:dyDescent="0.25">
      <c r="A885" s="181"/>
      <c r="C885" s="133"/>
      <c r="L885" s="260"/>
      <c r="X885" s="260"/>
      <c r="Y885" s="170"/>
      <c r="AJ885" s="260"/>
      <c r="BD885" s="260"/>
      <c r="BY885" s="260"/>
      <c r="CJ885" s="260"/>
      <c r="CN885" s="170"/>
      <c r="CP885" s="260"/>
      <c r="CS885" s="260"/>
      <c r="CV885" s="260"/>
      <c r="CY885" s="260"/>
      <c r="DB885" s="260"/>
    </row>
    <row r="886" spans="1:106" s="144" customFormat="1" x14ac:dyDescent="0.25">
      <c r="A886" s="181"/>
      <c r="C886" s="133"/>
      <c r="L886" s="260"/>
      <c r="X886" s="260"/>
      <c r="Y886" s="170"/>
      <c r="AJ886" s="260"/>
      <c r="BD886" s="260"/>
      <c r="BY886" s="260"/>
      <c r="CJ886" s="260"/>
      <c r="CN886" s="170"/>
      <c r="CP886" s="260"/>
      <c r="CS886" s="260"/>
      <c r="CV886" s="260"/>
      <c r="CY886" s="260"/>
      <c r="DB886" s="260"/>
    </row>
    <row r="887" spans="1:106" s="144" customFormat="1" x14ac:dyDescent="0.25">
      <c r="A887" s="181"/>
      <c r="C887" s="133"/>
      <c r="L887" s="260"/>
      <c r="X887" s="260"/>
      <c r="Y887" s="170"/>
      <c r="AJ887" s="260"/>
      <c r="BD887" s="260"/>
      <c r="BY887" s="260"/>
      <c r="CJ887" s="260"/>
      <c r="CN887" s="170"/>
      <c r="CP887" s="260"/>
      <c r="CS887" s="260"/>
      <c r="CV887" s="260"/>
      <c r="CY887" s="260"/>
      <c r="DB887" s="260"/>
    </row>
    <row r="888" spans="1:106" s="144" customFormat="1" x14ac:dyDescent="0.25">
      <c r="A888" s="181"/>
      <c r="C888" s="133"/>
      <c r="L888" s="260"/>
      <c r="X888" s="260"/>
      <c r="Y888" s="170"/>
      <c r="AJ888" s="260"/>
      <c r="BD888" s="260"/>
      <c r="BY888" s="260"/>
      <c r="CJ888" s="260"/>
      <c r="CN888" s="170"/>
      <c r="CP888" s="260"/>
      <c r="CS888" s="260"/>
      <c r="CV888" s="260"/>
      <c r="CY888" s="260"/>
      <c r="DB888" s="260"/>
    </row>
    <row r="889" spans="1:106" s="144" customFormat="1" x14ac:dyDescent="0.25">
      <c r="A889" s="181"/>
      <c r="C889" s="133"/>
      <c r="L889" s="260"/>
      <c r="X889" s="260"/>
      <c r="Y889" s="170"/>
      <c r="AJ889" s="260"/>
      <c r="BD889" s="260"/>
      <c r="BY889" s="260"/>
      <c r="CJ889" s="260"/>
      <c r="CN889" s="170"/>
      <c r="CP889" s="260"/>
      <c r="CS889" s="260"/>
      <c r="CV889" s="260"/>
      <c r="CY889" s="260"/>
      <c r="DB889" s="260"/>
    </row>
    <row r="890" spans="1:106" s="144" customFormat="1" x14ac:dyDescent="0.25">
      <c r="A890" s="181"/>
      <c r="C890" s="133"/>
      <c r="L890" s="260"/>
      <c r="X890" s="260"/>
      <c r="Y890" s="170"/>
      <c r="AJ890" s="260"/>
      <c r="BD890" s="260"/>
      <c r="BY890" s="260"/>
      <c r="CJ890" s="260"/>
      <c r="CN890" s="170"/>
      <c r="CP890" s="260"/>
      <c r="CS890" s="260"/>
      <c r="CV890" s="260"/>
      <c r="CY890" s="260"/>
      <c r="DB890" s="260"/>
    </row>
    <row r="891" spans="1:106" s="144" customFormat="1" x14ac:dyDescent="0.25">
      <c r="A891" s="181"/>
      <c r="C891" s="133"/>
      <c r="L891" s="260"/>
      <c r="X891" s="260"/>
      <c r="Y891" s="170"/>
      <c r="AJ891" s="260"/>
      <c r="BD891" s="260"/>
      <c r="BY891" s="260"/>
      <c r="CJ891" s="260"/>
      <c r="CN891" s="170"/>
      <c r="CP891" s="260"/>
      <c r="CS891" s="260"/>
      <c r="CV891" s="260"/>
      <c r="CY891" s="260"/>
      <c r="DB891" s="260"/>
    </row>
    <row r="892" spans="1:106" s="144" customFormat="1" x14ac:dyDescent="0.25">
      <c r="A892" s="181"/>
      <c r="C892" s="133"/>
      <c r="L892" s="260"/>
      <c r="X892" s="260"/>
      <c r="Y892" s="170"/>
      <c r="AJ892" s="260"/>
      <c r="BD892" s="260"/>
      <c r="BY892" s="260"/>
      <c r="CJ892" s="260"/>
      <c r="CN892" s="170"/>
      <c r="CP892" s="260"/>
      <c r="CS892" s="260"/>
      <c r="CV892" s="260"/>
      <c r="CY892" s="260"/>
      <c r="DB892" s="260"/>
    </row>
    <row r="893" spans="1:106" s="144" customFormat="1" x14ac:dyDescent="0.25">
      <c r="A893" s="181"/>
      <c r="C893" s="133"/>
      <c r="L893" s="260"/>
      <c r="X893" s="260"/>
      <c r="Y893" s="170"/>
      <c r="AJ893" s="260"/>
      <c r="BD893" s="260"/>
      <c r="BY893" s="260"/>
      <c r="CJ893" s="260"/>
      <c r="CN893" s="170"/>
      <c r="CP893" s="260"/>
      <c r="CS893" s="260"/>
      <c r="CV893" s="260"/>
      <c r="CY893" s="260"/>
      <c r="DB893" s="260"/>
    </row>
    <row r="894" spans="1:106" s="144" customFormat="1" x14ac:dyDescent="0.25">
      <c r="A894" s="181"/>
      <c r="C894" s="133"/>
      <c r="L894" s="260"/>
      <c r="X894" s="260"/>
      <c r="Y894" s="170"/>
      <c r="AJ894" s="260"/>
      <c r="BD894" s="260"/>
      <c r="BY894" s="260"/>
      <c r="CJ894" s="260"/>
      <c r="CN894" s="170"/>
      <c r="CP894" s="260"/>
      <c r="CS894" s="260"/>
      <c r="CV894" s="260"/>
      <c r="CY894" s="260"/>
      <c r="DB894" s="260"/>
    </row>
    <row r="895" spans="1:106" s="144" customFormat="1" x14ac:dyDescent="0.25">
      <c r="A895" s="181"/>
      <c r="C895" s="133"/>
      <c r="L895" s="260"/>
      <c r="X895" s="260"/>
      <c r="Y895" s="170"/>
      <c r="AJ895" s="260"/>
      <c r="BD895" s="260"/>
      <c r="BY895" s="260"/>
      <c r="CJ895" s="260"/>
      <c r="CN895" s="170"/>
      <c r="CP895" s="260"/>
      <c r="CS895" s="260"/>
      <c r="CV895" s="260"/>
      <c r="CY895" s="260"/>
      <c r="DB895" s="260"/>
    </row>
    <row r="896" spans="1:106" s="144" customFormat="1" x14ac:dyDescent="0.25">
      <c r="A896" s="181"/>
      <c r="C896" s="133"/>
      <c r="L896" s="260"/>
      <c r="X896" s="260"/>
      <c r="Y896" s="170"/>
      <c r="AJ896" s="260"/>
      <c r="BD896" s="260"/>
      <c r="BY896" s="260"/>
      <c r="CJ896" s="260"/>
      <c r="CN896" s="170"/>
      <c r="CP896" s="260"/>
      <c r="CS896" s="260"/>
      <c r="CV896" s="260"/>
      <c r="CY896" s="260"/>
      <c r="DB896" s="260"/>
    </row>
    <row r="897" spans="1:106" s="144" customFormat="1" x14ac:dyDescent="0.25">
      <c r="A897" s="181"/>
      <c r="C897" s="133"/>
      <c r="L897" s="260"/>
      <c r="X897" s="260"/>
      <c r="Y897" s="170"/>
      <c r="AJ897" s="260"/>
      <c r="BD897" s="260"/>
      <c r="BY897" s="260"/>
      <c r="CJ897" s="260"/>
      <c r="CN897" s="170"/>
      <c r="CP897" s="260"/>
      <c r="CS897" s="260"/>
      <c r="CV897" s="260"/>
      <c r="CY897" s="260"/>
      <c r="DB897" s="260"/>
    </row>
    <row r="898" spans="1:106" s="144" customFormat="1" x14ac:dyDescent="0.25">
      <c r="A898" s="181"/>
      <c r="C898" s="133"/>
      <c r="L898" s="260"/>
      <c r="X898" s="260"/>
      <c r="Y898" s="170"/>
      <c r="AJ898" s="260"/>
      <c r="BD898" s="260"/>
      <c r="BY898" s="260"/>
      <c r="CJ898" s="260"/>
      <c r="CN898" s="170"/>
      <c r="CP898" s="260"/>
      <c r="CS898" s="260"/>
      <c r="CV898" s="260"/>
      <c r="CY898" s="260"/>
      <c r="DB898" s="260"/>
    </row>
    <row r="899" spans="1:106" s="144" customFormat="1" x14ac:dyDescent="0.25">
      <c r="A899" s="181"/>
      <c r="C899" s="133"/>
      <c r="L899" s="260"/>
      <c r="X899" s="260"/>
      <c r="Y899" s="170"/>
      <c r="AJ899" s="260"/>
      <c r="BD899" s="260"/>
      <c r="BY899" s="260"/>
      <c r="CJ899" s="260"/>
      <c r="CN899" s="170"/>
      <c r="CP899" s="260"/>
      <c r="CS899" s="260"/>
      <c r="CV899" s="260"/>
      <c r="CY899" s="260"/>
      <c r="DB899" s="260"/>
    </row>
    <row r="900" spans="1:106" s="144" customFormat="1" x14ac:dyDescent="0.25">
      <c r="A900" s="181"/>
      <c r="C900" s="133"/>
      <c r="L900" s="260"/>
      <c r="X900" s="260"/>
      <c r="Y900" s="170"/>
      <c r="AJ900" s="260"/>
      <c r="BD900" s="260"/>
      <c r="BY900" s="260"/>
      <c r="CJ900" s="260"/>
      <c r="CN900" s="170"/>
      <c r="CP900" s="260"/>
      <c r="CS900" s="260"/>
      <c r="CV900" s="260"/>
      <c r="CY900" s="260"/>
      <c r="DB900" s="260"/>
    </row>
    <row r="901" spans="1:106" s="144" customFormat="1" x14ac:dyDescent="0.25">
      <c r="A901" s="181"/>
      <c r="C901" s="133"/>
      <c r="L901" s="260"/>
      <c r="X901" s="260"/>
      <c r="Y901" s="170"/>
      <c r="AJ901" s="260"/>
      <c r="BD901" s="260"/>
      <c r="BY901" s="260"/>
      <c r="CJ901" s="260"/>
      <c r="CN901" s="170"/>
      <c r="CP901" s="260"/>
      <c r="CS901" s="260"/>
      <c r="CV901" s="260"/>
      <c r="CY901" s="260"/>
      <c r="DB901" s="260"/>
    </row>
    <row r="902" spans="1:106" s="144" customFormat="1" x14ac:dyDescent="0.25">
      <c r="A902" s="181"/>
      <c r="C902" s="133"/>
      <c r="L902" s="260"/>
      <c r="X902" s="260"/>
      <c r="Y902" s="170"/>
      <c r="AJ902" s="260"/>
      <c r="BD902" s="260"/>
      <c r="BY902" s="260"/>
      <c r="CJ902" s="260"/>
      <c r="CN902" s="170"/>
      <c r="CP902" s="260"/>
      <c r="CS902" s="260"/>
      <c r="CV902" s="260"/>
      <c r="CY902" s="260"/>
      <c r="DB902" s="260"/>
    </row>
    <row r="903" spans="1:106" s="144" customFormat="1" x14ac:dyDescent="0.25">
      <c r="A903" s="181"/>
      <c r="C903" s="133"/>
      <c r="L903" s="260"/>
      <c r="X903" s="260"/>
      <c r="Y903" s="170"/>
      <c r="AJ903" s="260"/>
      <c r="BD903" s="260"/>
      <c r="BY903" s="260"/>
      <c r="CJ903" s="260"/>
      <c r="CN903" s="170"/>
      <c r="CP903" s="260"/>
      <c r="CS903" s="260"/>
      <c r="CV903" s="260"/>
      <c r="CY903" s="260"/>
      <c r="DB903" s="260"/>
    </row>
    <row r="904" spans="1:106" s="144" customFormat="1" x14ac:dyDescent="0.25">
      <c r="A904" s="181"/>
      <c r="C904" s="133"/>
      <c r="L904" s="260"/>
      <c r="X904" s="260"/>
      <c r="Y904" s="170"/>
      <c r="AJ904" s="260"/>
      <c r="BD904" s="260"/>
      <c r="BY904" s="260"/>
      <c r="CJ904" s="260"/>
      <c r="CN904" s="170"/>
      <c r="CP904" s="260"/>
      <c r="CS904" s="260"/>
      <c r="CV904" s="260"/>
      <c r="CY904" s="260"/>
      <c r="DB904" s="260"/>
    </row>
    <row r="905" spans="1:106" s="144" customFormat="1" x14ac:dyDescent="0.25">
      <c r="A905" s="181"/>
      <c r="C905" s="133"/>
      <c r="L905" s="260"/>
      <c r="X905" s="260"/>
      <c r="Y905" s="170"/>
      <c r="AJ905" s="260"/>
      <c r="BD905" s="260"/>
      <c r="BY905" s="260"/>
      <c r="CJ905" s="260"/>
      <c r="CN905" s="170"/>
      <c r="CP905" s="260"/>
      <c r="CS905" s="260"/>
      <c r="CV905" s="260"/>
      <c r="CY905" s="260"/>
      <c r="DB905" s="260"/>
    </row>
    <row r="906" spans="1:106" s="144" customFormat="1" x14ac:dyDescent="0.25">
      <c r="A906" s="181"/>
      <c r="C906" s="133"/>
      <c r="L906" s="260"/>
      <c r="X906" s="260"/>
      <c r="Y906" s="170"/>
      <c r="AJ906" s="260"/>
      <c r="BD906" s="260"/>
      <c r="BY906" s="260"/>
      <c r="CJ906" s="260"/>
      <c r="CN906" s="170"/>
      <c r="CP906" s="260"/>
      <c r="CS906" s="260"/>
      <c r="CV906" s="260"/>
      <c r="CY906" s="260"/>
      <c r="DB906" s="260"/>
    </row>
    <row r="907" spans="1:106" s="144" customFormat="1" x14ac:dyDescent="0.25">
      <c r="A907" s="181"/>
      <c r="C907" s="133"/>
      <c r="L907" s="260"/>
      <c r="X907" s="260"/>
      <c r="Y907" s="170"/>
      <c r="AJ907" s="260"/>
      <c r="BD907" s="260"/>
      <c r="BY907" s="260"/>
      <c r="CJ907" s="260"/>
      <c r="CN907" s="170"/>
      <c r="CP907" s="260"/>
      <c r="CS907" s="260"/>
      <c r="CV907" s="260"/>
      <c r="CY907" s="260"/>
      <c r="DB907" s="260"/>
    </row>
    <row r="908" spans="1:106" s="144" customFormat="1" x14ac:dyDescent="0.25">
      <c r="A908" s="181"/>
      <c r="C908" s="133"/>
      <c r="L908" s="260"/>
      <c r="X908" s="260"/>
      <c r="Y908" s="170"/>
      <c r="AJ908" s="260"/>
      <c r="BD908" s="260"/>
      <c r="BY908" s="260"/>
      <c r="CJ908" s="260"/>
      <c r="CN908" s="170"/>
      <c r="CP908" s="260"/>
      <c r="CS908" s="260"/>
      <c r="CV908" s="260"/>
      <c r="CY908" s="260"/>
      <c r="DB908" s="260"/>
    </row>
    <row r="909" spans="1:106" s="144" customFormat="1" x14ac:dyDescent="0.25">
      <c r="A909" s="181"/>
      <c r="C909" s="133"/>
      <c r="L909" s="260"/>
      <c r="X909" s="260"/>
      <c r="Y909" s="170"/>
      <c r="AJ909" s="260"/>
      <c r="BD909" s="260"/>
      <c r="BY909" s="260"/>
      <c r="CJ909" s="260"/>
      <c r="CN909" s="170"/>
      <c r="CP909" s="260"/>
      <c r="CS909" s="260"/>
      <c r="CV909" s="260"/>
      <c r="CY909" s="260"/>
      <c r="DB909" s="260"/>
    </row>
    <row r="910" spans="1:106" s="144" customFormat="1" x14ac:dyDescent="0.25">
      <c r="A910" s="181"/>
      <c r="C910" s="133"/>
      <c r="L910" s="260"/>
      <c r="X910" s="260"/>
      <c r="Y910" s="170"/>
      <c r="AJ910" s="260"/>
      <c r="BD910" s="260"/>
      <c r="BY910" s="260"/>
      <c r="CJ910" s="260"/>
      <c r="CN910" s="170"/>
      <c r="CP910" s="260"/>
      <c r="CS910" s="260"/>
      <c r="CV910" s="260"/>
      <c r="CY910" s="260"/>
      <c r="DB910" s="260"/>
    </row>
    <row r="911" spans="1:106" s="144" customFormat="1" x14ac:dyDescent="0.25">
      <c r="A911" s="181"/>
      <c r="C911" s="133"/>
      <c r="L911" s="260"/>
      <c r="X911" s="260"/>
      <c r="Y911" s="170"/>
      <c r="AJ911" s="260"/>
      <c r="BD911" s="260"/>
      <c r="BY911" s="260"/>
      <c r="CJ911" s="260"/>
      <c r="CN911" s="170"/>
      <c r="CP911" s="260"/>
      <c r="CS911" s="260"/>
      <c r="CV911" s="260"/>
      <c r="CY911" s="260"/>
      <c r="DB911" s="260"/>
    </row>
    <row r="912" spans="1:106" s="144" customFormat="1" x14ac:dyDescent="0.25">
      <c r="A912" s="181"/>
      <c r="C912" s="133"/>
      <c r="L912" s="260"/>
      <c r="X912" s="260"/>
      <c r="Y912" s="170"/>
      <c r="AJ912" s="260"/>
      <c r="BD912" s="260"/>
      <c r="BY912" s="260"/>
      <c r="CJ912" s="260"/>
      <c r="CN912" s="170"/>
      <c r="CP912" s="260"/>
      <c r="CS912" s="260"/>
      <c r="CV912" s="260"/>
      <c r="CY912" s="260"/>
      <c r="DB912" s="260"/>
    </row>
    <row r="913" spans="1:106" s="144" customFormat="1" x14ac:dyDescent="0.25">
      <c r="A913" s="181"/>
      <c r="C913" s="133"/>
      <c r="L913" s="260"/>
      <c r="X913" s="260"/>
      <c r="Y913" s="170"/>
      <c r="AJ913" s="260"/>
      <c r="BD913" s="260"/>
      <c r="BY913" s="260"/>
      <c r="CJ913" s="260"/>
      <c r="CN913" s="170"/>
      <c r="CP913" s="260"/>
      <c r="CS913" s="260"/>
      <c r="CV913" s="260"/>
      <c r="CY913" s="260"/>
      <c r="DB913" s="260"/>
    </row>
    <row r="914" spans="1:106" s="144" customFormat="1" x14ac:dyDescent="0.25">
      <c r="A914" s="181"/>
      <c r="C914" s="133"/>
      <c r="L914" s="260"/>
      <c r="X914" s="260"/>
      <c r="Y914" s="170"/>
      <c r="AJ914" s="260"/>
      <c r="BD914" s="260"/>
      <c r="BY914" s="260"/>
      <c r="CJ914" s="260"/>
      <c r="CN914" s="170"/>
      <c r="CP914" s="260"/>
      <c r="CS914" s="260"/>
      <c r="CV914" s="260"/>
      <c r="CY914" s="260"/>
      <c r="DB914" s="260"/>
    </row>
    <row r="915" spans="1:106" s="144" customFormat="1" x14ac:dyDescent="0.25">
      <c r="A915" s="181"/>
      <c r="C915" s="133"/>
      <c r="L915" s="260"/>
      <c r="X915" s="260"/>
      <c r="Y915" s="170"/>
      <c r="AJ915" s="260"/>
      <c r="BD915" s="260"/>
      <c r="BY915" s="260"/>
      <c r="CJ915" s="260"/>
      <c r="CN915" s="170"/>
      <c r="CP915" s="260"/>
      <c r="CS915" s="260"/>
      <c r="CV915" s="260"/>
      <c r="CY915" s="260"/>
      <c r="DB915" s="260"/>
    </row>
    <row r="916" spans="1:106" s="144" customFormat="1" x14ac:dyDescent="0.25">
      <c r="A916" s="181"/>
      <c r="C916" s="133"/>
      <c r="L916" s="260"/>
      <c r="X916" s="260"/>
      <c r="Y916" s="170"/>
      <c r="AJ916" s="260"/>
      <c r="BD916" s="260"/>
      <c r="BY916" s="260"/>
      <c r="CJ916" s="260"/>
      <c r="CN916" s="170"/>
      <c r="CP916" s="260"/>
      <c r="CS916" s="260"/>
      <c r="CV916" s="260"/>
      <c r="CY916" s="260"/>
      <c r="DB916" s="260"/>
    </row>
    <row r="917" spans="1:106" s="144" customFormat="1" x14ac:dyDescent="0.25">
      <c r="A917" s="181"/>
      <c r="C917" s="133"/>
      <c r="L917" s="260"/>
      <c r="X917" s="260"/>
      <c r="Y917" s="170"/>
      <c r="AJ917" s="260"/>
      <c r="BD917" s="260"/>
      <c r="BY917" s="260"/>
      <c r="CJ917" s="260"/>
      <c r="CN917" s="170"/>
      <c r="CP917" s="260"/>
      <c r="CS917" s="260"/>
      <c r="CV917" s="260"/>
      <c r="CY917" s="260"/>
      <c r="DB917" s="260"/>
    </row>
    <row r="918" spans="1:106" s="144" customFormat="1" x14ac:dyDescent="0.25">
      <c r="A918" s="181"/>
      <c r="C918" s="133"/>
      <c r="L918" s="260"/>
      <c r="X918" s="260"/>
      <c r="Y918" s="170"/>
      <c r="AJ918" s="260"/>
      <c r="BD918" s="260"/>
      <c r="BY918" s="260"/>
      <c r="CJ918" s="260"/>
      <c r="CN918" s="170"/>
      <c r="CP918" s="260"/>
      <c r="CS918" s="260"/>
      <c r="CV918" s="260"/>
      <c r="CY918" s="260"/>
      <c r="DB918" s="260"/>
    </row>
    <row r="919" spans="1:106" s="144" customFormat="1" x14ac:dyDescent="0.25">
      <c r="A919" s="181"/>
      <c r="C919" s="133"/>
      <c r="L919" s="260"/>
      <c r="X919" s="260"/>
      <c r="Y919" s="170"/>
      <c r="AJ919" s="260"/>
      <c r="BD919" s="260"/>
      <c r="BY919" s="260"/>
      <c r="CJ919" s="260"/>
      <c r="CN919" s="170"/>
      <c r="CP919" s="260"/>
      <c r="CS919" s="260"/>
      <c r="CV919" s="260"/>
      <c r="CY919" s="260"/>
      <c r="DB919" s="260"/>
    </row>
    <row r="920" spans="1:106" s="144" customFormat="1" x14ac:dyDescent="0.25">
      <c r="A920" s="181"/>
      <c r="C920" s="133"/>
      <c r="L920" s="260"/>
      <c r="X920" s="260"/>
      <c r="Y920" s="170"/>
      <c r="AJ920" s="260"/>
      <c r="BD920" s="260"/>
      <c r="BY920" s="260"/>
      <c r="CJ920" s="260"/>
      <c r="CN920" s="170"/>
      <c r="CP920" s="260"/>
      <c r="CS920" s="260"/>
      <c r="CV920" s="260"/>
      <c r="CY920" s="260"/>
      <c r="DB920" s="260"/>
    </row>
    <row r="921" spans="1:106" s="144" customFormat="1" x14ac:dyDescent="0.25">
      <c r="A921" s="181"/>
      <c r="C921" s="133"/>
      <c r="L921" s="260"/>
      <c r="X921" s="260"/>
      <c r="Y921" s="170"/>
      <c r="AJ921" s="260"/>
      <c r="BD921" s="260"/>
      <c r="BY921" s="260"/>
      <c r="CJ921" s="260"/>
      <c r="CN921" s="170"/>
      <c r="CP921" s="260"/>
      <c r="CS921" s="260"/>
      <c r="CV921" s="260"/>
      <c r="CY921" s="260"/>
      <c r="DB921" s="260"/>
    </row>
    <row r="922" spans="1:106" s="144" customFormat="1" x14ac:dyDescent="0.25">
      <c r="A922" s="181"/>
      <c r="C922" s="133"/>
      <c r="L922" s="260"/>
      <c r="X922" s="260"/>
      <c r="Y922" s="170"/>
      <c r="AJ922" s="260"/>
      <c r="BD922" s="260"/>
      <c r="BY922" s="260"/>
      <c r="CJ922" s="260"/>
      <c r="CN922" s="170"/>
      <c r="CP922" s="260"/>
      <c r="CS922" s="260"/>
      <c r="CV922" s="260"/>
      <c r="CY922" s="260"/>
      <c r="DB922" s="260"/>
    </row>
    <row r="923" spans="1:106" s="144" customFormat="1" x14ac:dyDescent="0.25">
      <c r="A923" s="181"/>
      <c r="C923" s="133"/>
      <c r="L923" s="260"/>
      <c r="X923" s="260"/>
      <c r="Y923" s="170"/>
      <c r="AJ923" s="260"/>
      <c r="BD923" s="260"/>
      <c r="BY923" s="260"/>
      <c r="CJ923" s="260"/>
      <c r="CN923" s="170"/>
      <c r="CP923" s="260"/>
      <c r="CS923" s="260"/>
      <c r="CV923" s="260"/>
      <c r="CY923" s="260"/>
      <c r="DB923" s="260"/>
    </row>
    <row r="924" spans="1:106" s="144" customFormat="1" x14ac:dyDescent="0.25">
      <c r="A924" s="181"/>
      <c r="C924" s="133"/>
      <c r="L924" s="260"/>
      <c r="X924" s="260"/>
      <c r="Y924" s="170"/>
      <c r="AJ924" s="260"/>
      <c r="BD924" s="260"/>
      <c r="BY924" s="260"/>
      <c r="CJ924" s="260"/>
      <c r="CN924" s="170"/>
      <c r="CP924" s="260"/>
      <c r="CS924" s="260"/>
      <c r="CV924" s="260"/>
      <c r="CY924" s="260"/>
      <c r="DB924" s="260"/>
    </row>
    <row r="925" spans="1:106" s="144" customFormat="1" x14ac:dyDescent="0.25">
      <c r="A925" s="181"/>
      <c r="C925" s="133"/>
      <c r="L925" s="260"/>
      <c r="X925" s="260"/>
      <c r="Y925" s="170"/>
      <c r="AJ925" s="260"/>
      <c r="BD925" s="260"/>
      <c r="BY925" s="260"/>
      <c r="CJ925" s="260"/>
      <c r="CN925" s="170"/>
      <c r="CP925" s="260"/>
      <c r="CS925" s="260"/>
      <c r="CV925" s="260"/>
      <c r="CY925" s="260"/>
      <c r="DB925" s="260"/>
    </row>
    <row r="926" spans="1:106" s="144" customFormat="1" x14ac:dyDescent="0.25">
      <c r="A926" s="181"/>
      <c r="C926" s="133"/>
      <c r="L926" s="260"/>
      <c r="X926" s="260"/>
      <c r="Y926" s="170"/>
      <c r="AJ926" s="260"/>
      <c r="BD926" s="260"/>
      <c r="BY926" s="260"/>
      <c r="CJ926" s="260"/>
      <c r="CN926" s="170"/>
      <c r="CP926" s="260"/>
      <c r="CS926" s="260"/>
      <c r="CV926" s="260"/>
      <c r="CY926" s="260"/>
      <c r="DB926" s="260"/>
    </row>
    <row r="927" spans="1:106" s="144" customFormat="1" x14ac:dyDescent="0.25">
      <c r="A927" s="181"/>
      <c r="C927" s="133"/>
      <c r="L927" s="260"/>
      <c r="X927" s="260"/>
      <c r="Y927" s="170"/>
      <c r="AJ927" s="260"/>
      <c r="BD927" s="260"/>
      <c r="BY927" s="260"/>
      <c r="CJ927" s="260"/>
      <c r="CN927" s="170"/>
      <c r="CP927" s="260"/>
      <c r="CS927" s="260"/>
      <c r="CV927" s="260"/>
      <c r="CY927" s="260"/>
      <c r="DB927" s="260"/>
    </row>
    <row r="928" spans="1:106" s="144" customFormat="1" x14ac:dyDescent="0.25">
      <c r="A928" s="181"/>
      <c r="C928" s="133"/>
      <c r="L928" s="260"/>
      <c r="X928" s="260"/>
      <c r="Y928" s="170"/>
      <c r="AJ928" s="260"/>
      <c r="BD928" s="260"/>
      <c r="BY928" s="260"/>
      <c r="CJ928" s="260"/>
      <c r="CN928" s="170"/>
      <c r="CP928" s="260"/>
      <c r="CS928" s="260"/>
      <c r="CV928" s="260"/>
      <c r="CY928" s="260"/>
      <c r="DB928" s="260"/>
    </row>
    <row r="929" spans="1:106" s="144" customFormat="1" x14ac:dyDescent="0.25">
      <c r="A929" s="181"/>
      <c r="C929" s="133"/>
      <c r="L929" s="260"/>
      <c r="X929" s="260"/>
      <c r="Y929" s="170"/>
      <c r="AJ929" s="260"/>
      <c r="BD929" s="260"/>
      <c r="BY929" s="260"/>
      <c r="CJ929" s="260"/>
      <c r="CN929" s="170"/>
      <c r="CP929" s="260"/>
      <c r="CS929" s="260"/>
      <c r="CV929" s="260"/>
      <c r="CY929" s="260"/>
      <c r="DB929" s="260"/>
    </row>
    <row r="930" spans="1:106" s="144" customFormat="1" x14ac:dyDescent="0.25">
      <c r="A930" s="181"/>
      <c r="C930" s="133"/>
      <c r="L930" s="260"/>
      <c r="X930" s="260"/>
      <c r="Y930" s="170"/>
      <c r="AJ930" s="260"/>
      <c r="BD930" s="260"/>
      <c r="BY930" s="260"/>
      <c r="CJ930" s="260"/>
      <c r="CN930" s="170"/>
      <c r="CP930" s="260"/>
      <c r="CS930" s="260"/>
      <c r="CV930" s="260"/>
      <c r="CY930" s="260"/>
      <c r="DB930" s="260"/>
    </row>
    <row r="931" spans="1:106" s="144" customFormat="1" x14ac:dyDescent="0.25">
      <c r="A931" s="181"/>
      <c r="C931" s="133"/>
      <c r="L931" s="260"/>
      <c r="X931" s="260"/>
      <c r="Y931" s="170"/>
      <c r="AJ931" s="260"/>
      <c r="BD931" s="260"/>
      <c r="BY931" s="260"/>
      <c r="CJ931" s="260"/>
      <c r="CN931" s="170"/>
      <c r="CP931" s="260"/>
      <c r="CS931" s="260"/>
      <c r="CV931" s="260"/>
      <c r="CY931" s="260"/>
      <c r="DB931" s="260"/>
    </row>
    <row r="932" spans="1:106" s="144" customFormat="1" x14ac:dyDescent="0.25">
      <c r="A932" s="181"/>
      <c r="C932" s="133"/>
      <c r="L932" s="260"/>
      <c r="X932" s="260"/>
      <c r="Y932" s="170"/>
      <c r="AJ932" s="260"/>
      <c r="BD932" s="260"/>
      <c r="BY932" s="260"/>
      <c r="CJ932" s="260"/>
      <c r="CN932" s="170"/>
      <c r="CP932" s="260"/>
      <c r="CS932" s="260"/>
      <c r="CV932" s="260"/>
      <c r="CY932" s="260"/>
      <c r="DB932" s="260"/>
    </row>
    <row r="933" spans="1:106" s="144" customFormat="1" x14ac:dyDescent="0.25">
      <c r="A933" s="181"/>
      <c r="C933" s="133"/>
      <c r="L933" s="260"/>
      <c r="X933" s="260"/>
      <c r="Y933" s="170"/>
      <c r="AJ933" s="260"/>
      <c r="BD933" s="260"/>
      <c r="BY933" s="260"/>
      <c r="CJ933" s="260"/>
      <c r="CN933" s="170"/>
      <c r="CP933" s="260"/>
      <c r="CS933" s="260"/>
      <c r="CV933" s="260"/>
      <c r="CY933" s="260"/>
      <c r="DB933" s="260"/>
    </row>
    <row r="934" spans="1:106" s="144" customFormat="1" x14ac:dyDescent="0.25">
      <c r="A934" s="181"/>
      <c r="C934" s="133"/>
      <c r="L934" s="260"/>
      <c r="X934" s="260"/>
      <c r="Y934" s="170"/>
      <c r="AJ934" s="260"/>
      <c r="BD934" s="260"/>
      <c r="BY934" s="260"/>
      <c r="CJ934" s="260"/>
      <c r="CN934" s="170"/>
      <c r="CP934" s="260"/>
      <c r="CS934" s="260"/>
      <c r="CV934" s="260"/>
      <c r="CY934" s="260"/>
      <c r="DB934" s="260"/>
    </row>
    <row r="935" spans="1:106" s="144" customFormat="1" x14ac:dyDescent="0.25">
      <c r="A935" s="181"/>
      <c r="C935" s="133"/>
      <c r="L935" s="260"/>
      <c r="X935" s="260"/>
      <c r="Y935" s="170"/>
      <c r="AJ935" s="260"/>
      <c r="BD935" s="260"/>
      <c r="BY935" s="260"/>
      <c r="CJ935" s="260"/>
      <c r="CN935" s="170"/>
      <c r="CP935" s="260"/>
      <c r="CS935" s="260"/>
      <c r="CV935" s="260"/>
      <c r="CY935" s="260"/>
      <c r="DB935" s="260"/>
    </row>
    <row r="936" spans="1:106" s="144" customFormat="1" x14ac:dyDescent="0.25">
      <c r="A936" s="181"/>
      <c r="C936" s="133"/>
      <c r="L936" s="260"/>
      <c r="X936" s="260"/>
      <c r="Y936" s="170"/>
      <c r="AJ936" s="260"/>
      <c r="BD936" s="260"/>
      <c r="BY936" s="260"/>
      <c r="CJ936" s="260"/>
      <c r="CN936" s="170"/>
      <c r="CP936" s="260"/>
      <c r="CS936" s="260"/>
      <c r="CV936" s="260"/>
      <c r="CY936" s="260"/>
      <c r="DB936" s="260"/>
    </row>
    <row r="937" spans="1:106" s="144" customFormat="1" x14ac:dyDescent="0.25">
      <c r="A937" s="181"/>
      <c r="C937" s="133"/>
      <c r="L937" s="260"/>
      <c r="X937" s="260"/>
      <c r="Y937" s="170"/>
      <c r="AJ937" s="260"/>
      <c r="BD937" s="260"/>
      <c r="BY937" s="260"/>
      <c r="CJ937" s="260"/>
      <c r="CN937" s="170"/>
      <c r="CP937" s="260"/>
      <c r="CS937" s="260"/>
      <c r="CV937" s="260"/>
      <c r="CY937" s="260"/>
      <c r="DB937" s="260"/>
    </row>
    <row r="938" spans="1:106" s="144" customFormat="1" x14ac:dyDescent="0.25">
      <c r="A938" s="181"/>
      <c r="C938" s="133"/>
      <c r="L938" s="260"/>
      <c r="X938" s="260"/>
      <c r="Y938" s="170"/>
      <c r="AJ938" s="260"/>
      <c r="BD938" s="260"/>
      <c r="BY938" s="260"/>
      <c r="CJ938" s="260"/>
      <c r="CN938" s="170"/>
      <c r="CP938" s="260"/>
      <c r="CS938" s="260"/>
      <c r="CV938" s="260"/>
      <c r="CY938" s="260"/>
      <c r="DB938" s="260"/>
    </row>
    <row r="939" spans="1:106" s="144" customFormat="1" x14ac:dyDescent="0.25">
      <c r="A939" s="181"/>
      <c r="C939" s="133"/>
      <c r="L939" s="260"/>
      <c r="X939" s="260"/>
      <c r="Y939" s="170"/>
      <c r="AJ939" s="260"/>
      <c r="BD939" s="260"/>
      <c r="BY939" s="260"/>
      <c r="CJ939" s="260"/>
      <c r="CN939" s="170"/>
      <c r="CP939" s="260"/>
      <c r="CS939" s="260"/>
      <c r="CV939" s="260"/>
      <c r="CY939" s="260"/>
      <c r="DB939" s="260"/>
    </row>
    <row r="940" spans="1:106" s="144" customFormat="1" x14ac:dyDescent="0.25">
      <c r="A940" s="181"/>
      <c r="C940" s="133"/>
      <c r="L940" s="260"/>
      <c r="X940" s="260"/>
      <c r="Y940" s="170"/>
      <c r="AJ940" s="260"/>
      <c r="BD940" s="260"/>
      <c r="BY940" s="260"/>
      <c r="CJ940" s="260"/>
      <c r="CN940" s="170"/>
      <c r="CP940" s="260"/>
      <c r="CS940" s="260"/>
      <c r="CV940" s="260"/>
      <c r="CY940" s="260"/>
      <c r="DB940" s="260"/>
    </row>
    <row r="941" spans="1:106" s="144" customFormat="1" x14ac:dyDescent="0.25">
      <c r="A941" s="181"/>
      <c r="C941" s="133"/>
      <c r="L941" s="260"/>
      <c r="X941" s="260"/>
      <c r="Y941" s="170"/>
      <c r="AJ941" s="260"/>
      <c r="BD941" s="260"/>
      <c r="BY941" s="260"/>
      <c r="CJ941" s="260"/>
      <c r="CN941" s="170"/>
      <c r="CP941" s="260"/>
      <c r="CS941" s="260"/>
      <c r="CV941" s="260"/>
      <c r="CY941" s="260"/>
      <c r="DB941" s="260"/>
    </row>
    <row r="942" spans="1:106" s="144" customFormat="1" x14ac:dyDescent="0.25">
      <c r="A942" s="181"/>
      <c r="C942" s="133"/>
      <c r="L942" s="260"/>
      <c r="X942" s="260"/>
      <c r="Y942" s="170"/>
      <c r="AJ942" s="260"/>
      <c r="BD942" s="260"/>
      <c r="BY942" s="260"/>
      <c r="CJ942" s="260"/>
      <c r="CN942" s="170"/>
      <c r="CP942" s="260"/>
      <c r="CS942" s="260"/>
      <c r="CV942" s="260"/>
      <c r="CY942" s="260"/>
      <c r="DB942" s="260"/>
    </row>
    <row r="943" spans="1:106" s="144" customFormat="1" x14ac:dyDescent="0.25">
      <c r="A943" s="181"/>
      <c r="C943" s="133"/>
      <c r="L943" s="260"/>
      <c r="X943" s="260"/>
      <c r="Y943" s="170"/>
      <c r="AJ943" s="260"/>
      <c r="BD943" s="260"/>
      <c r="BY943" s="260"/>
      <c r="CJ943" s="260"/>
      <c r="CN943" s="170"/>
      <c r="CP943" s="260"/>
      <c r="CS943" s="260"/>
      <c r="CV943" s="260"/>
      <c r="CY943" s="260"/>
      <c r="DB943" s="260"/>
    </row>
    <row r="944" spans="1:106" s="144" customFormat="1" x14ac:dyDescent="0.25">
      <c r="A944" s="181"/>
      <c r="C944" s="133"/>
      <c r="L944" s="260"/>
      <c r="X944" s="260"/>
      <c r="Y944" s="170"/>
      <c r="AJ944" s="260"/>
      <c r="BD944" s="260"/>
      <c r="BY944" s="260"/>
      <c r="CJ944" s="260"/>
      <c r="CN944" s="170"/>
      <c r="CP944" s="260"/>
      <c r="CS944" s="260"/>
      <c r="CV944" s="260"/>
      <c r="CY944" s="260"/>
      <c r="DB944" s="260"/>
    </row>
    <row r="945" spans="1:106" s="144" customFormat="1" x14ac:dyDescent="0.25">
      <c r="A945" s="181"/>
      <c r="C945" s="133"/>
      <c r="L945" s="260"/>
      <c r="X945" s="260"/>
      <c r="Y945" s="170"/>
      <c r="AJ945" s="260"/>
      <c r="BD945" s="260"/>
      <c r="BY945" s="260"/>
      <c r="CJ945" s="260"/>
      <c r="CN945" s="170"/>
      <c r="CP945" s="260"/>
      <c r="CS945" s="260"/>
      <c r="CV945" s="260"/>
      <c r="CY945" s="260"/>
      <c r="DB945" s="260"/>
    </row>
    <row r="946" spans="1:106" s="144" customFormat="1" x14ac:dyDescent="0.25">
      <c r="A946" s="181"/>
      <c r="C946" s="133"/>
      <c r="L946" s="260"/>
      <c r="X946" s="260"/>
      <c r="Y946" s="170"/>
      <c r="AJ946" s="260"/>
      <c r="BD946" s="260"/>
      <c r="BY946" s="260"/>
      <c r="CJ946" s="260"/>
      <c r="CN946" s="170"/>
      <c r="CP946" s="260"/>
      <c r="CS946" s="260"/>
      <c r="CV946" s="260"/>
      <c r="CY946" s="260"/>
      <c r="DB946" s="260"/>
    </row>
    <row r="947" spans="1:106" s="144" customFormat="1" x14ac:dyDescent="0.25">
      <c r="A947" s="181"/>
      <c r="C947" s="133"/>
      <c r="L947" s="260"/>
      <c r="X947" s="260"/>
      <c r="Y947" s="170"/>
      <c r="AJ947" s="260"/>
      <c r="BD947" s="260"/>
      <c r="BY947" s="260"/>
      <c r="CJ947" s="260"/>
      <c r="CN947" s="170"/>
      <c r="CP947" s="260"/>
      <c r="CS947" s="260"/>
      <c r="CV947" s="260"/>
      <c r="CY947" s="260"/>
      <c r="DB947" s="260"/>
    </row>
    <row r="948" spans="1:106" s="144" customFormat="1" x14ac:dyDescent="0.25">
      <c r="A948" s="181"/>
      <c r="C948" s="133"/>
      <c r="L948" s="260"/>
      <c r="X948" s="260"/>
      <c r="Y948" s="170"/>
      <c r="AJ948" s="260"/>
      <c r="BD948" s="260"/>
      <c r="BY948" s="260"/>
      <c r="CJ948" s="260"/>
      <c r="CN948" s="170"/>
      <c r="CP948" s="260"/>
      <c r="CS948" s="260"/>
      <c r="CV948" s="260"/>
      <c r="CY948" s="260"/>
      <c r="DB948" s="260"/>
    </row>
    <row r="949" spans="1:106" s="144" customFormat="1" x14ac:dyDescent="0.25">
      <c r="A949" s="181"/>
      <c r="C949" s="133"/>
      <c r="L949" s="260"/>
      <c r="X949" s="260"/>
      <c r="Y949" s="170"/>
      <c r="AJ949" s="260"/>
      <c r="BD949" s="260"/>
      <c r="BY949" s="260"/>
      <c r="CJ949" s="260"/>
      <c r="CN949" s="170"/>
      <c r="CP949" s="260"/>
      <c r="CS949" s="260"/>
      <c r="CV949" s="260"/>
      <c r="CY949" s="260"/>
      <c r="DB949" s="260"/>
    </row>
    <row r="950" spans="1:106" s="144" customFormat="1" x14ac:dyDescent="0.25">
      <c r="A950" s="181"/>
      <c r="C950" s="133"/>
      <c r="L950" s="260"/>
      <c r="X950" s="260"/>
      <c r="Y950" s="170"/>
      <c r="AJ950" s="260"/>
      <c r="BD950" s="260"/>
      <c r="BY950" s="260"/>
      <c r="CJ950" s="260"/>
      <c r="CN950" s="170"/>
      <c r="CP950" s="260"/>
      <c r="CS950" s="260"/>
      <c r="CV950" s="260"/>
      <c r="CY950" s="260"/>
      <c r="DB950" s="260"/>
    </row>
    <row r="951" spans="1:106" s="144" customFormat="1" x14ac:dyDescent="0.25">
      <c r="A951" s="181"/>
      <c r="C951" s="133"/>
      <c r="L951" s="260"/>
      <c r="X951" s="260"/>
      <c r="Y951" s="170"/>
      <c r="AJ951" s="260"/>
      <c r="BD951" s="260"/>
      <c r="BY951" s="260"/>
      <c r="CJ951" s="260"/>
      <c r="CN951" s="170"/>
      <c r="CP951" s="260"/>
      <c r="CS951" s="260"/>
      <c r="CV951" s="260"/>
      <c r="CY951" s="260"/>
      <c r="DB951" s="260"/>
    </row>
    <row r="952" spans="1:106" s="144" customFormat="1" x14ac:dyDescent="0.25">
      <c r="A952" s="181"/>
      <c r="C952" s="133"/>
      <c r="L952" s="260"/>
      <c r="X952" s="260"/>
      <c r="Y952" s="170"/>
      <c r="AJ952" s="260"/>
      <c r="BD952" s="260"/>
      <c r="BY952" s="260"/>
      <c r="CJ952" s="260"/>
      <c r="CN952" s="170"/>
      <c r="CP952" s="260"/>
      <c r="CS952" s="260"/>
      <c r="CV952" s="260"/>
      <c r="CY952" s="260"/>
      <c r="DB952" s="260"/>
    </row>
    <row r="953" spans="1:106" s="144" customFormat="1" x14ac:dyDescent="0.25">
      <c r="A953" s="181"/>
      <c r="C953" s="133"/>
      <c r="L953" s="260"/>
      <c r="X953" s="260"/>
      <c r="Y953" s="170"/>
      <c r="AJ953" s="260"/>
      <c r="BD953" s="260"/>
      <c r="BY953" s="260"/>
      <c r="CJ953" s="260"/>
      <c r="CN953" s="170"/>
      <c r="CP953" s="260"/>
      <c r="CS953" s="260"/>
      <c r="CV953" s="260"/>
      <c r="CY953" s="260"/>
      <c r="DB953" s="260"/>
    </row>
    <row r="954" spans="1:106" s="144" customFormat="1" x14ac:dyDescent="0.25">
      <c r="A954" s="181"/>
      <c r="C954" s="133"/>
      <c r="L954" s="260"/>
      <c r="X954" s="260"/>
      <c r="Y954" s="170"/>
      <c r="AJ954" s="260"/>
      <c r="BD954" s="260"/>
      <c r="BY954" s="260"/>
      <c r="CJ954" s="260"/>
      <c r="CN954" s="170"/>
      <c r="CP954" s="260"/>
      <c r="CS954" s="260"/>
      <c r="CV954" s="260"/>
      <c r="CY954" s="260"/>
      <c r="DB954" s="260"/>
    </row>
    <row r="955" spans="1:106" s="144" customFormat="1" x14ac:dyDescent="0.25">
      <c r="A955" s="181"/>
      <c r="C955" s="133"/>
      <c r="L955" s="260"/>
      <c r="X955" s="260"/>
      <c r="Y955" s="170"/>
      <c r="AJ955" s="260"/>
      <c r="BD955" s="260"/>
      <c r="BY955" s="260"/>
      <c r="CJ955" s="260"/>
      <c r="CN955" s="170"/>
      <c r="CP955" s="260"/>
      <c r="CS955" s="260"/>
      <c r="CV955" s="260"/>
      <c r="CY955" s="260"/>
      <c r="DB955" s="260"/>
    </row>
    <row r="956" spans="1:106" s="144" customFormat="1" x14ac:dyDescent="0.25">
      <c r="A956" s="181"/>
      <c r="C956" s="133"/>
      <c r="L956" s="260"/>
      <c r="X956" s="260"/>
      <c r="Y956" s="170"/>
      <c r="AJ956" s="260"/>
      <c r="BD956" s="260"/>
      <c r="BY956" s="260"/>
      <c r="CJ956" s="260"/>
      <c r="CN956" s="170"/>
      <c r="CP956" s="260"/>
      <c r="CS956" s="260"/>
      <c r="CV956" s="260"/>
      <c r="CY956" s="260"/>
      <c r="DB956" s="260"/>
    </row>
    <row r="957" spans="1:106" s="144" customFormat="1" x14ac:dyDescent="0.25">
      <c r="A957" s="181"/>
      <c r="C957" s="133"/>
      <c r="L957" s="260"/>
      <c r="X957" s="260"/>
      <c r="Y957" s="170"/>
      <c r="AJ957" s="260"/>
      <c r="BD957" s="260"/>
      <c r="BY957" s="260"/>
      <c r="CJ957" s="260"/>
      <c r="CN957" s="170"/>
      <c r="CP957" s="260"/>
      <c r="CS957" s="260"/>
      <c r="CV957" s="260"/>
      <c r="CY957" s="260"/>
      <c r="DB957" s="260"/>
    </row>
    <row r="958" spans="1:106" s="144" customFormat="1" x14ac:dyDescent="0.25">
      <c r="A958" s="181"/>
      <c r="C958" s="133"/>
      <c r="L958" s="260"/>
      <c r="X958" s="260"/>
      <c r="Y958" s="170"/>
      <c r="AJ958" s="260"/>
      <c r="BD958" s="260"/>
      <c r="BY958" s="260"/>
      <c r="CJ958" s="260"/>
      <c r="CN958" s="170"/>
      <c r="CP958" s="260"/>
      <c r="CS958" s="260"/>
      <c r="CV958" s="260"/>
      <c r="CY958" s="260"/>
      <c r="DB958" s="260"/>
    </row>
    <row r="959" spans="1:106" s="144" customFormat="1" x14ac:dyDescent="0.25">
      <c r="A959" s="181"/>
      <c r="C959" s="133"/>
      <c r="L959" s="260"/>
      <c r="X959" s="260"/>
      <c r="Y959" s="170"/>
      <c r="AJ959" s="260"/>
      <c r="BD959" s="260"/>
      <c r="BY959" s="260"/>
      <c r="CJ959" s="260"/>
      <c r="CN959" s="170"/>
      <c r="CP959" s="260"/>
      <c r="CS959" s="260"/>
      <c r="CV959" s="260"/>
      <c r="CY959" s="260"/>
      <c r="DB959" s="260"/>
    </row>
    <row r="960" spans="1:106" s="144" customFormat="1" x14ac:dyDescent="0.25">
      <c r="A960" s="181"/>
      <c r="C960" s="133"/>
      <c r="L960" s="260"/>
      <c r="X960" s="260"/>
      <c r="Y960" s="170"/>
      <c r="AJ960" s="260"/>
      <c r="BD960" s="260"/>
      <c r="BY960" s="260"/>
      <c r="CJ960" s="260"/>
      <c r="CN960" s="170"/>
      <c r="CP960" s="260"/>
      <c r="CS960" s="260"/>
      <c r="CV960" s="260"/>
      <c r="CY960" s="260"/>
      <c r="DB960" s="260"/>
    </row>
    <row r="961" spans="1:106" s="144" customFormat="1" x14ac:dyDescent="0.25">
      <c r="A961" s="181"/>
      <c r="C961" s="133"/>
      <c r="L961" s="260"/>
      <c r="X961" s="260"/>
      <c r="Y961" s="170"/>
      <c r="AJ961" s="260"/>
      <c r="BD961" s="260"/>
      <c r="BY961" s="260"/>
      <c r="CJ961" s="260"/>
      <c r="CN961" s="170"/>
      <c r="CP961" s="260"/>
      <c r="CS961" s="260"/>
      <c r="CV961" s="260"/>
      <c r="CY961" s="260"/>
      <c r="DB961" s="260"/>
    </row>
    <row r="962" spans="1:106" s="144" customFormat="1" x14ac:dyDescent="0.25">
      <c r="A962" s="181"/>
      <c r="C962" s="133"/>
      <c r="L962" s="260"/>
      <c r="X962" s="260"/>
      <c r="Y962" s="170"/>
      <c r="AJ962" s="260"/>
      <c r="BD962" s="260"/>
      <c r="BY962" s="260"/>
      <c r="CJ962" s="260"/>
      <c r="CN962" s="170"/>
      <c r="CP962" s="260"/>
      <c r="CS962" s="260"/>
      <c r="CV962" s="260"/>
      <c r="CY962" s="260"/>
      <c r="DB962" s="260"/>
    </row>
    <row r="963" spans="1:106" s="144" customFormat="1" x14ac:dyDescent="0.25">
      <c r="A963" s="181"/>
      <c r="C963" s="133"/>
      <c r="L963" s="260"/>
      <c r="X963" s="260"/>
      <c r="Y963" s="170"/>
      <c r="AJ963" s="260"/>
      <c r="BD963" s="260"/>
      <c r="BY963" s="260"/>
      <c r="CJ963" s="260"/>
      <c r="CN963" s="170"/>
      <c r="CP963" s="260"/>
      <c r="CS963" s="260"/>
      <c r="CV963" s="260"/>
      <c r="CY963" s="260"/>
      <c r="DB963" s="260"/>
    </row>
    <row r="964" spans="1:106" s="144" customFormat="1" x14ac:dyDescent="0.25">
      <c r="A964" s="181"/>
      <c r="C964" s="133"/>
      <c r="L964" s="260"/>
      <c r="X964" s="260"/>
      <c r="Y964" s="170"/>
      <c r="AJ964" s="260"/>
      <c r="BD964" s="260"/>
      <c r="BY964" s="260"/>
      <c r="CJ964" s="260"/>
      <c r="CN964" s="170"/>
      <c r="CP964" s="260"/>
      <c r="CS964" s="260"/>
      <c r="CV964" s="260"/>
      <c r="CY964" s="260"/>
      <c r="DB964" s="260"/>
    </row>
    <row r="965" spans="1:106" s="144" customFormat="1" x14ac:dyDescent="0.25">
      <c r="A965" s="181"/>
      <c r="C965" s="133"/>
      <c r="L965" s="260"/>
      <c r="X965" s="260"/>
      <c r="Y965" s="170"/>
      <c r="AJ965" s="260"/>
      <c r="BD965" s="260"/>
      <c r="BY965" s="260"/>
      <c r="CJ965" s="260"/>
      <c r="CN965" s="170"/>
      <c r="CP965" s="260"/>
      <c r="CS965" s="260"/>
      <c r="CV965" s="260"/>
      <c r="CY965" s="260"/>
      <c r="DB965" s="260"/>
    </row>
    <row r="966" spans="1:106" s="144" customFormat="1" x14ac:dyDescent="0.25">
      <c r="A966" s="181"/>
      <c r="C966" s="133"/>
      <c r="L966" s="260"/>
      <c r="X966" s="260"/>
      <c r="Y966" s="170"/>
      <c r="AJ966" s="260"/>
      <c r="BD966" s="260"/>
      <c r="BY966" s="260"/>
      <c r="CJ966" s="260"/>
      <c r="CN966" s="170"/>
      <c r="CP966" s="260"/>
      <c r="CS966" s="260"/>
      <c r="CV966" s="260"/>
      <c r="CY966" s="260"/>
      <c r="DB966" s="260"/>
    </row>
    <row r="967" spans="1:106" s="144" customFormat="1" x14ac:dyDescent="0.25">
      <c r="A967" s="181"/>
      <c r="C967" s="133"/>
      <c r="L967" s="260"/>
      <c r="X967" s="260"/>
      <c r="Y967" s="170"/>
      <c r="AJ967" s="260"/>
      <c r="BD967" s="260"/>
      <c r="BY967" s="260"/>
      <c r="CJ967" s="260"/>
      <c r="CN967" s="170"/>
      <c r="CP967" s="260"/>
      <c r="CS967" s="260"/>
      <c r="CV967" s="260"/>
      <c r="CY967" s="260"/>
      <c r="DB967" s="260"/>
    </row>
    <row r="968" spans="1:106" s="144" customFormat="1" x14ac:dyDescent="0.25">
      <c r="A968" s="181"/>
      <c r="C968" s="133"/>
      <c r="L968" s="260"/>
      <c r="X968" s="260"/>
      <c r="Y968" s="170"/>
      <c r="AJ968" s="260"/>
      <c r="BD968" s="260"/>
      <c r="BY968" s="260"/>
      <c r="CJ968" s="260"/>
      <c r="CN968" s="170"/>
      <c r="CP968" s="260"/>
      <c r="CS968" s="260"/>
      <c r="CV968" s="260"/>
      <c r="CY968" s="260"/>
      <c r="DB968" s="260"/>
    </row>
    <row r="969" spans="1:106" s="144" customFormat="1" x14ac:dyDescent="0.25">
      <c r="A969" s="181"/>
      <c r="C969" s="133"/>
      <c r="L969" s="260"/>
      <c r="X969" s="260"/>
      <c r="Y969" s="170"/>
      <c r="AJ969" s="260"/>
      <c r="BD969" s="260"/>
      <c r="BY969" s="260"/>
      <c r="CJ969" s="260"/>
      <c r="CN969" s="170"/>
      <c r="CP969" s="260"/>
      <c r="CS969" s="260"/>
      <c r="CV969" s="260"/>
      <c r="CY969" s="260"/>
      <c r="DB969" s="260"/>
    </row>
    <row r="970" spans="1:106" s="144" customFormat="1" x14ac:dyDescent="0.25">
      <c r="A970" s="181"/>
      <c r="C970" s="133"/>
      <c r="L970" s="260"/>
      <c r="X970" s="260"/>
      <c r="Y970" s="170"/>
      <c r="AJ970" s="260"/>
      <c r="BD970" s="260"/>
      <c r="BY970" s="260"/>
      <c r="CJ970" s="260"/>
      <c r="CN970" s="170"/>
      <c r="CP970" s="260"/>
      <c r="CS970" s="260"/>
      <c r="CV970" s="260"/>
      <c r="CY970" s="260"/>
      <c r="DB970" s="260"/>
    </row>
    <row r="971" spans="1:106" s="144" customFormat="1" x14ac:dyDescent="0.25">
      <c r="A971" s="181"/>
      <c r="C971" s="133"/>
      <c r="L971" s="260"/>
      <c r="X971" s="260"/>
      <c r="Y971" s="170"/>
      <c r="AJ971" s="260"/>
      <c r="BD971" s="260"/>
      <c r="BY971" s="260"/>
      <c r="CJ971" s="260"/>
      <c r="CN971" s="170"/>
      <c r="CP971" s="260"/>
      <c r="CS971" s="260"/>
      <c r="CV971" s="260"/>
      <c r="CY971" s="260"/>
      <c r="DB971" s="260"/>
    </row>
    <row r="972" spans="1:106" s="144" customFormat="1" x14ac:dyDescent="0.25">
      <c r="A972" s="181"/>
      <c r="C972" s="133"/>
      <c r="L972" s="260"/>
      <c r="X972" s="260"/>
      <c r="Y972" s="170"/>
      <c r="AJ972" s="260"/>
      <c r="BD972" s="260"/>
      <c r="BY972" s="260"/>
      <c r="CJ972" s="260"/>
      <c r="CN972" s="170"/>
      <c r="CP972" s="260"/>
      <c r="CS972" s="260"/>
      <c r="CV972" s="260"/>
      <c r="CY972" s="260"/>
      <c r="DB972" s="260"/>
    </row>
    <row r="973" spans="1:106" s="144" customFormat="1" x14ac:dyDescent="0.25">
      <c r="A973" s="181"/>
      <c r="C973" s="133"/>
      <c r="L973" s="260"/>
      <c r="X973" s="260"/>
      <c r="Y973" s="170"/>
      <c r="AJ973" s="260"/>
      <c r="BD973" s="260"/>
      <c r="BY973" s="260"/>
      <c r="CJ973" s="260"/>
      <c r="CN973" s="170"/>
      <c r="CP973" s="260"/>
      <c r="CS973" s="260"/>
      <c r="CV973" s="260"/>
      <c r="CY973" s="260"/>
      <c r="DB973" s="260"/>
    </row>
    <row r="974" spans="1:106" s="144" customFormat="1" x14ac:dyDescent="0.25">
      <c r="A974" s="181"/>
      <c r="C974" s="133"/>
      <c r="L974" s="260"/>
      <c r="X974" s="260"/>
      <c r="Y974" s="170"/>
      <c r="AJ974" s="260"/>
      <c r="BD974" s="260"/>
      <c r="BY974" s="260"/>
      <c r="CJ974" s="260"/>
      <c r="CN974" s="170"/>
      <c r="CP974" s="260"/>
      <c r="CS974" s="260"/>
      <c r="CV974" s="260"/>
      <c r="CY974" s="260"/>
      <c r="DB974" s="260"/>
    </row>
    <row r="975" spans="1:106" s="144" customFormat="1" x14ac:dyDescent="0.25">
      <c r="A975" s="181"/>
      <c r="C975" s="133"/>
      <c r="L975" s="260"/>
      <c r="X975" s="260"/>
      <c r="Y975" s="170"/>
      <c r="AJ975" s="260"/>
      <c r="BD975" s="260"/>
      <c r="BY975" s="260"/>
      <c r="CJ975" s="260"/>
      <c r="CN975" s="170"/>
      <c r="CP975" s="260"/>
      <c r="CS975" s="260"/>
      <c r="CV975" s="260"/>
      <c r="CY975" s="260"/>
      <c r="DB975" s="260"/>
    </row>
    <row r="976" spans="1:106" s="144" customFormat="1" x14ac:dyDescent="0.25">
      <c r="A976" s="181"/>
      <c r="C976" s="133"/>
      <c r="L976" s="260"/>
      <c r="X976" s="260"/>
      <c r="Y976" s="170"/>
      <c r="AJ976" s="260"/>
      <c r="BD976" s="260"/>
      <c r="BY976" s="260"/>
      <c r="CJ976" s="260"/>
      <c r="CN976" s="170"/>
      <c r="CP976" s="260"/>
      <c r="CS976" s="260"/>
      <c r="CV976" s="260"/>
      <c r="CY976" s="260"/>
      <c r="DB976" s="260"/>
    </row>
    <row r="977" spans="1:106" s="144" customFormat="1" x14ac:dyDescent="0.25">
      <c r="A977" s="181"/>
      <c r="C977" s="133"/>
      <c r="L977" s="260"/>
      <c r="X977" s="260"/>
      <c r="Y977" s="170"/>
      <c r="AJ977" s="260"/>
      <c r="BD977" s="260"/>
      <c r="BY977" s="260"/>
      <c r="CJ977" s="260"/>
      <c r="CN977" s="170"/>
      <c r="CP977" s="260"/>
      <c r="CS977" s="260"/>
      <c r="CV977" s="260"/>
      <c r="CY977" s="260"/>
      <c r="DB977" s="260"/>
    </row>
    <row r="978" spans="1:106" s="144" customFormat="1" x14ac:dyDescent="0.25">
      <c r="A978" s="181"/>
      <c r="C978" s="133"/>
      <c r="L978" s="260"/>
      <c r="X978" s="260"/>
      <c r="Y978" s="170"/>
      <c r="AJ978" s="260"/>
      <c r="BD978" s="260"/>
      <c r="BY978" s="260"/>
      <c r="CJ978" s="260"/>
      <c r="CN978" s="170"/>
      <c r="CP978" s="260"/>
      <c r="CS978" s="260"/>
      <c r="CV978" s="260"/>
      <c r="CY978" s="260"/>
      <c r="DB978" s="260"/>
    </row>
    <row r="979" spans="1:106" s="144" customFormat="1" x14ac:dyDescent="0.25">
      <c r="A979" s="181"/>
      <c r="C979" s="133"/>
      <c r="L979" s="260"/>
      <c r="X979" s="260"/>
      <c r="Y979" s="170"/>
      <c r="AJ979" s="260"/>
      <c r="BD979" s="260"/>
      <c r="BY979" s="260"/>
      <c r="CJ979" s="260"/>
      <c r="CN979" s="170"/>
      <c r="CP979" s="260"/>
      <c r="CS979" s="260"/>
      <c r="CV979" s="260"/>
      <c r="CY979" s="260"/>
      <c r="DB979" s="260"/>
    </row>
    <row r="980" spans="1:106" s="144" customFormat="1" x14ac:dyDescent="0.25">
      <c r="A980" s="181"/>
      <c r="C980" s="133"/>
      <c r="L980" s="260"/>
      <c r="X980" s="260"/>
      <c r="Y980" s="170"/>
      <c r="AJ980" s="260"/>
      <c r="BD980" s="260"/>
      <c r="BY980" s="260"/>
      <c r="CJ980" s="260"/>
      <c r="CN980" s="170"/>
      <c r="CP980" s="260"/>
      <c r="CS980" s="260"/>
      <c r="CV980" s="260"/>
      <c r="CY980" s="260"/>
      <c r="DB980" s="260"/>
    </row>
    <row r="981" spans="1:106" s="144" customFormat="1" x14ac:dyDescent="0.25">
      <c r="A981" s="181"/>
      <c r="C981" s="133"/>
      <c r="L981" s="260"/>
      <c r="X981" s="260"/>
      <c r="Y981" s="170"/>
      <c r="AJ981" s="260"/>
      <c r="BD981" s="260"/>
      <c r="BY981" s="260"/>
      <c r="CJ981" s="260"/>
      <c r="CN981" s="170"/>
      <c r="CP981" s="260"/>
      <c r="CS981" s="260"/>
      <c r="CV981" s="260"/>
      <c r="CY981" s="260"/>
      <c r="DB981" s="260"/>
    </row>
    <row r="982" spans="1:106" s="144" customFormat="1" x14ac:dyDescent="0.25">
      <c r="A982" s="181"/>
      <c r="C982" s="133"/>
      <c r="L982" s="260"/>
      <c r="X982" s="260"/>
      <c r="Y982" s="170"/>
      <c r="AJ982" s="260"/>
      <c r="BD982" s="260"/>
      <c r="BY982" s="260"/>
      <c r="CJ982" s="260"/>
      <c r="CN982" s="170"/>
      <c r="CP982" s="260"/>
      <c r="CS982" s="260"/>
      <c r="CV982" s="260"/>
      <c r="CY982" s="260"/>
      <c r="DB982" s="260"/>
    </row>
    <row r="983" spans="1:106" s="144" customFormat="1" x14ac:dyDescent="0.25">
      <c r="A983" s="181"/>
      <c r="C983" s="133"/>
      <c r="L983" s="260"/>
      <c r="X983" s="260"/>
      <c r="Y983" s="170"/>
      <c r="AJ983" s="260"/>
      <c r="BD983" s="260"/>
      <c r="BY983" s="260"/>
      <c r="CJ983" s="260"/>
      <c r="CN983" s="170"/>
      <c r="CP983" s="260"/>
      <c r="CS983" s="260"/>
      <c r="CV983" s="260"/>
      <c r="CY983" s="260"/>
      <c r="DB983" s="260"/>
    </row>
    <row r="984" spans="1:106" s="144" customFormat="1" x14ac:dyDescent="0.25">
      <c r="A984" s="181"/>
      <c r="C984" s="133"/>
      <c r="L984" s="260"/>
      <c r="X984" s="260"/>
      <c r="Y984" s="170"/>
      <c r="AJ984" s="260"/>
      <c r="BD984" s="260"/>
      <c r="BY984" s="260"/>
      <c r="CJ984" s="260"/>
      <c r="CN984" s="170"/>
      <c r="CP984" s="260"/>
      <c r="CS984" s="260"/>
      <c r="CV984" s="260"/>
      <c r="CY984" s="260"/>
      <c r="DB984" s="260"/>
    </row>
    <row r="985" spans="1:106" s="144" customFormat="1" x14ac:dyDescent="0.25">
      <c r="A985" s="181"/>
      <c r="C985" s="133"/>
      <c r="L985" s="260"/>
      <c r="X985" s="260"/>
      <c r="Y985" s="170"/>
      <c r="AJ985" s="260"/>
      <c r="BD985" s="260"/>
      <c r="BY985" s="260"/>
      <c r="CJ985" s="260"/>
      <c r="CN985" s="170"/>
      <c r="CP985" s="260"/>
      <c r="CS985" s="260"/>
      <c r="CV985" s="260"/>
      <c r="CY985" s="260"/>
      <c r="DB985" s="260"/>
    </row>
    <row r="986" spans="1:106" s="144" customFormat="1" x14ac:dyDescent="0.25">
      <c r="A986" s="181"/>
      <c r="C986" s="133"/>
      <c r="L986" s="260"/>
      <c r="X986" s="260"/>
      <c r="Y986" s="170"/>
      <c r="AJ986" s="260"/>
      <c r="BD986" s="260"/>
      <c r="BY986" s="260"/>
      <c r="CJ986" s="260"/>
      <c r="CN986" s="170"/>
      <c r="CP986" s="260"/>
      <c r="CS986" s="260"/>
      <c r="CV986" s="260"/>
      <c r="CY986" s="260"/>
      <c r="DB986" s="260"/>
    </row>
    <row r="987" spans="1:106" s="144" customFormat="1" x14ac:dyDescent="0.25">
      <c r="A987" s="181"/>
      <c r="C987" s="133"/>
      <c r="L987" s="260"/>
      <c r="X987" s="260"/>
      <c r="Y987" s="170"/>
      <c r="AJ987" s="260"/>
      <c r="BD987" s="260"/>
      <c r="BY987" s="260"/>
      <c r="CJ987" s="260"/>
      <c r="CN987" s="170"/>
      <c r="CP987" s="260"/>
      <c r="CS987" s="260"/>
      <c r="CV987" s="260"/>
      <c r="CY987" s="260"/>
      <c r="DB987" s="260"/>
    </row>
    <row r="988" spans="1:106" s="144" customFormat="1" x14ac:dyDescent="0.25">
      <c r="A988" s="181"/>
      <c r="C988" s="133"/>
      <c r="L988" s="260"/>
      <c r="X988" s="260"/>
      <c r="Y988" s="170"/>
      <c r="AJ988" s="260"/>
      <c r="BD988" s="260"/>
      <c r="BY988" s="260"/>
      <c r="CJ988" s="260"/>
      <c r="CN988" s="170"/>
      <c r="CP988" s="260"/>
      <c r="CS988" s="260"/>
      <c r="CV988" s="260"/>
      <c r="CY988" s="260"/>
      <c r="DB988" s="260"/>
    </row>
    <row r="989" spans="1:106" s="144" customFormat="1" x14ac:dyDescent="0.25">
      <c r="A989" s="181"/>
      <c r="C989" s="133"/>
      <c r="L989" s="260"/>
      <c r="X989" s="260"/>
      <c r="Y989" s="170"/>
      <c r="AJ989" s="260"/>
      <c r="BD989" s="260"/>
      <c r="BY989" s="260"/>
      <c r="CJ989" s="260"/>
      <c r="CN989" s="170"/>
      <c r="CP989" s="260"/>
      <c r="CS989" s="260"/>
      <c r="CV989" s="260"/>
      <c r="CY989" s="260"/>
      <c r="DB989" s="260"/>
    </row>
    <row r="990" spans="1:106" s="144" customFormat="1" x14ac:dyDescent="0.25">
      <c r="A990" s="181"/>
      <c r="C990" s="133"/>
      <c r="L990" s="260"/>
      <c r="X990" s="260"/>
      <c r="Y990" s="170"/>
      <c r="AJ990" s="260"/>
      <c r="BD990" s="260"/>
      <c r="BY990" s="260"/>
      <c r="CJ990" s="260"/>
      <c r="CN990" s="170"/>
      <c r="CP990" s="260"/>
      <c r="CS990" s="260"/>
      <c r="CV990" s="260"/>
      <c r="CY990" s="260"/>
      <c r="DB990" s="260"/>
    </row>
    <row r="991" spans="1:106" s="144" customFormat="1" x14ac:dyDescent="0.25">
      <c r="A991" s="181"/>
      <c r="C991" s="133"/>
      <c r="L991" s="260"/>
      <c r="X991" s="260"/>
      <c r="Y991" s="170"/>
      <c r="AJ991" s="260"/>
      <c r="BD991" s="260"/>
      <c r="BY991" s="260"/>
      <c r="CJ991" s="260"/>
      <c r="CN991" s="170"/>
      <c r="CP991" s="260"/>
      <c r="CS991" s="260"/>
      <c r="CV991" s="260"/>
      <c r="CY991" s="260"/>
      <c r="DB991" s="260"/>
    </row>
    <row r="992" spans="1:106" s="144" customFormat="1" x14ac:dyDescent="0.25">
      <c r="A992" s="181"/>
      <c r="C992" s="133"/>
      <c r="L992" s="260"/>
      <c r="X992" s="260"/>
      <c r="Y992" s="170"/>
      <c r="AJ992" s="260"/>
      <c r="BD992" s="260"/>
      <c r="BY992" s="260"/>
      <c r="CJ992" s="260"/>
      <c r="CN992" s="170"/>
      <c r="CP992" s="260"/>
      <c r="CS992" s="260"/>
      <c r="CV992" s="260"/>
      <c r="CY992" s="260"/>
      <c r="DB992" s="260"/>
    </row>
    <row r="993" spans="1:106" s="144" customFormat="1" x14ac:dyDescent="0.25">
      <c r="A993" s="181"/>
      <c r="C993" s="133"/>
      <c r="L993" s="260"/>
      <c r="X993" s="260"/>
      <c r="Y993" s="170"/>
      <c r="AJ993" s="260"/>
      <c r="BD993" s="260"/>
      <c r="BY993" s="260"/>
      <c r="CJ993" s="260"/>
      <c r="CN993" s="170"/>
      <c r="CP993" s="260"/>
      <c r="CS993" s="260"/>
      <c r="CV993" s="260"/>
      <c r="CY993" s="260"/>
      <c r="DB993" s="260"/>
    </row>
    <row r="994" spans="1:106" s="144" customFormat="1" x14ac:dyDescent="0.25">
      <c r="A994" s="181"/>
      <c r="C994" s="133"/>
      <c r="L994" s="260"/>
      <c r="X994" s="260"/>
      <c r="Y994" s="170"/>
      <c r="AJ994" s="260"/>
      <c r="BD994" s="260"/>
      <c r="BY994" s="260"/>
      <c r="CJ994" s="260"/>
      <c r="CN994" s="170"/>
      <c r="CP994" s="260"/>
      <c r="CS994" s="260"/>
      <c r="CV994" s="260"/>
      <c r="CY994" s="260"/>
      <c r="DB994" s="260"/>
    </row>
    <row r="995" spans="1:106" s="144" customFormat="1" x14ac:dyDescent="0.25">
      <c r="A995" s="181"/>
      <c r="C995" s="133"/>
      <c r="L995" s="260"/>
      <c r="X995" s="260"/>
      <c r="Y995" s="170"/>
      <c r="AJ995" s="260"/>
      <c r="BD995" s="260"/>
      <c r="BY995" s="260"/>
      <c r="CJ995" s="260"/>
      <c r="CN995" s="170"/>
      <c r="CP995" s="260"/>
      <c r="CS995" s="260"/>
      <c r="CV995" s="260"/>
      <c r="CY995" s="260"/>
      <c r="DB995" s="260"/>
    </row>
    <row r="996" spans="1:106" s="144" customFormat="1" x14ac:dyDescent="0.25">
      <c r="A996" s="181"/>
      <c r="C996" s="133"/>
      <c r="L996" s="260"/>
      <c r="X996" s="260"/>
      <c r="Y996" s="170"/>
      <c r="AJ996" s="260"/>
      <c r="BD996" s="260"/>
      <c r="BY996" s="260"/>
      <c r="CJ996" s="260"/>
      <c r="CN996" s="170"/>
      <c r="CP996" s="260"/>
      <c r="CS996" s="260"/>
      <c r="CV996" s="260"/>
      <c r="CY996" s="260"/>
      <c r="DB996" s="260"/>
    </row>
    <row r="997" spans="1:106" s="144" customFormat="1" x14ac:dyDescent="0.25">
      <c r="A997" s="181"/>
      <c r="C997" s="133"/>
      <c r="L997" s="260"/>
      <c r="X997" s="260"/>
      <c r="Y997" s="170"/>
      <c r="AJ997" s="260"/>
      <c r="BD997" s="260"/>
      <c r="BY997" s="260"/>
      <c r="CJ997" s="260"/>
      <c r="CN997" s="170"/>
      <c r="CP997" s="260"/>
      <c r="CS997" s="260"/>
      <c r="CV997" s="260"/>
      <c r="CY997" s="260"/>
      <c r="DB997" s="260"/>
    </row>
    <row r="998" spans="1:106" s="144" customFormat="1" x14ac:dyDescent="0.25">
      <c r="A998" s="181"/>
      <c r="C998" s="133"/>
      <c r="L998" s="260"/>
      <c r="X998" s="260"/>
      <c r="Y998" s="170"/>
      <c r="AJ998" s="260"/>
      <c r="BD998" s="260"/>
      <c r="BY998" s="260"/>
      <c r="CJ998" s="260"/>
      <c r="CN998" s="170"/>
      <c r="CP998" s="260"/>
      <c r="CS998" s="260"/>
      <c r="CV998" s="260"/>
      <c r="CY998" s="260"/>
      <c r="DB998" s="260"/>
    </row>
    <row r="999" spans="1:106" s="144" customFormat="1" x14ac:dyDescent="0.25">
      <c r="A999" s="181"/>
      <c r="C999" s="133"/>
      <c r="L999" s="260"/>
      <c r="X999" s="260"/>
      <c r="Y999" s="170"/>
      <c r="AJ999" s="260"/>
      <c r="BD999" s="260"/>
      <c r="BY999" s="260"/>
      <c r="CJ999" s="260"/>
      <c r="CN999" s="170"/>
      <c r="CP999" s="260"/>
      <c r="CS999" s="260"/>
      <c r="CV999" s="260"/>
      <c r="CY999" s="260"/>
      <c r="DB999" s="260"/>
    </row>
    <row r="1000" spans="1:106" s="144" customFormat="1" x14ac:dyDescent="0.25">
      <c r="A1000" s="181"/>
      <c r="C1000" s="133"/>
      <c r="L1000" s="260"/>
      <c r="X1000" s="260"/>
      <c r="Y1000" s="170"/>
      <c r="AJ1000" s="260"/>
      <c r="BD1000" s="260"/>
      <c r="BY1000" s="260"/>
      <c r="CJ1000" s="260"/>
      <c r="CN1000" s="170"/>
      <c r="CP1000" s="260"/>
      <c r="CS1000" s="260"/>
      <c r="CV1000" s="260"/>
      <c r="CY1000" s="260"/>
      <c r="DB1000" s="260"/>
    </row>
    <row r="1001" spans="1:106" s="144" customFormat="1" x14ac:dyDescent="0.25">
      <c r="A1001" s="181"/>
      <c r="C1001" s="133"/>
      <c r="L1001" s="260"/>
      <c r="X1001" s="260"/>
      <c r="Y1001" s="170"/>
      <c r="AJ1001" s="260"/>
      <c r="BD1001" s="260"/>
      <c r="BY1001" s="260"/>
      <c r="CJ1001" s="260"/>
      <c r="CN1001" s="170"/>
      <c r="CP1001" s="260"/>
      <c r="CS1001" s="260"/>
      <c r="CV1001" s="260"/>
      <c r="CY1001" s="260"/>
      <c r="DB1001" s="260"/>
    </row>
    <row r="1002" spans="1:106" s="144" customFormat="1" x14ac:dyDescent="0.25">
      <c r="A1002" s="181"/>
      <c r="C1002" s="133"/>
      <c r="L1002" s="260"/>
      <c r="X1002" s="260"/>
      <c r="Y1002" s="170"/>
      <c r="AJ1002" s="260"/>
      <c r="BD1002" s="260"/>
      <c r="BY1002" s="260"/>
      <c r="CJ1002" s="260"/>
      <c r="CN1002" s="170"/>
      <c r="CP1002" s="260"/>
      <c r="CS1002" s="260"/>
      <c r="CV1002" s="260"/>
      <c r="CY1002" s="260"/>
      <c r="DB1002" s="260"/>
    </row>
    <row r="1003" spans="1:106" s="144" customFormat="1" x14ac:dyDescent="0.25">
      <c r="A1003" s="181"/>
      <c r="C1003" s="133"/>
      <c r="L1003" s="260"/>
      <c r="X1003" s="260"/>
      <c r="Y1003" s="170"/>
      <c r="AJ1003" s="260"/>
      <c r="BD1003" s="260"/>
      <c r="BY1003" s="260"/>
      <c r="CJ1003" s="260"/>
      <c r="CN1003" s="170"/>
      <c r="CP1003" s="260"/>
      <c r="CS1003" s="260"/>
      <c r="CV1003" s="260"/>
      <c r="CY1003" s="260"/>
      <c r="DB1003" s="260"/>
    </row>
    <row r="1004" spans="1:106" s="144" customFormat="1" x14ac:dyDescent="0.25">
      <c r="A1004" s="181"/>
      <c r="C1004" s="133"/>
      <c r="L1004" s="260"/>
      <c r="X1004" s="260"/>
      <c r="Y1004" s="170"/>
      <c r="AJ1004" s="260"/>
      <c r="BD1004" s="260"/>
      <c r="BY1004" s="260"/>
      <c r="CJ1004" s="260"/>
      <c r="CN1004" s="170"/>
      <c r="CP1004" s="260"/>
      <c r="CS1004" s="260"/>
      <c r="CV1004" s="260"/>
      <c r="CY1004" s="260"/>
      <c r="DB1004" s="260"/>
    </row>
    <row r="1005" spans="1:106" s="144" customFormat="1" x14ac:dyDescent="0.25">
      <c r="A1005" s="181"/>
      <c r="C1005" s="133"/>
      <c r="L1005" s="260"/>
      <c r="X1005" s="260"/>
      <c r="Y1005" s="170"/>
      <c r="AJ1005" s="260"/>
      <c r="BD1005" s="260"/>
      <c r="BY1005" s="260"/>
      <c r="CJ1005" s="260"/>
      <c r="CN1005" s="170"/>
      <c r="CP1005" s="260"/>
      <c r="CS1005" s="260"/>
      <c r="CV1005" s="260"/>
      <c r="CY1005" s="260"/>
      <c r="DB1005" s="260"/>
    </row>
    <row r="1006" spans="1:106" s="144" customFormat="1" x14ac:dyDescent="0.25">
      <c r="A1006" s="181"/>
      <c r="C1006" s="133"/>
      <c r="L1006" s="260"/>
      <c r="X1006" s="260"/>
      <c r="Y1006" s="170"/>
      <c r="AJ1006" s="260"/>
      <c r="BD1006" s="260"/>
      <c r="BY1006" s="260"/>
      <c r="CJ1006" s="260"/>
      <c r="CN1006" s="170"/>
      <c r="CP1006" s="260"/>
      <c r="CS1006" s="260"/>
      <c r="CV1006" s="260"/>
      <c r="CY1006" s="260"/>
      <c r="DB1006" s="260"/>
    </row>
    <row r="1007" spans="1:106" s="144" customFormat="1" x14ac:dyDescent="0.25">
      <c r="A1007" s="181"/>
      <c r="C1007" s="133"/>
      <c r="L1007" s="260"/>
      <c r="X1007" s="260"/>
      <c r="Y1007" s="170"/>
      <c r="AJ1007" s="260"/>
      <c r="BD1007" s="260"/>
      <c r="BY1007" s="260"/>
      <c r="CJ1007" s="260"/>
      <c r="CN1007" s="170"/>
      <c r="CP1007" s="260"/>
      <c r="CS1007" s="260"/>
      <c r="CV1007" s="260"/>
      <c r="CY1007" s="260"/>
      <c r="DB1007" s="260"/>
    </row>
    <row r="1008" spans="1:106" s="144" customFormat="1" x14ac:dyDescent="0.25">
      <c r="A1008" s="181"/>
      <c r="C1008" s="133"/>
      <c r="L1008" s="260"/>
      <c r="X1008" s="260"/>
      <c r="Y1008" s="170"/>
      <c r="AJ1008" s="260"/>
      <c r="BD1008" s="260"/>
      <c r="BY1008" s="260"/>
      <c r="CJ1008" s="260"/>
      <c r="CN1008" s="170"/>
      <c r="CP1008" s="260"/>
      <c r="CS1008" s="260"/>
      <c r="CV1008" s="260"/>
      <c r="CY1008" s="260"/>
      <c r="DB1008" s="260"/>
    </row>
    <row r="1009" spans="1:106" s="144" customFormat="1" x14ac:dyDescent="0.25">
      <c r="A1009" s="181"/>
      <c r="C1009" s="133"/>
      <c r="L1009" s="260"/>
      <c r="X1009" s="260"/>
      <c r="Y1009" s="170"/>
      <c r="AJ1009" s="260"/>
      <c r="BD1009" s="260"/>
      <c r="BY1009" s="260"/>
      <c r="CJ1009" s="260"/>
      <c r="CN1009" s="170"/>
      <c r="CP1009" s="260"/>
      <c r="CS1009" s="260"/>
      <c r="CV1009" s="260"/>
      <c r="CY1009" s="260"/>
      <c r="DB1009" s="260"/>
    </row>
    <row r="1010" spans="1:106" s="144" customFormat="1" x14ac:dyDescent="0.25">
      <c r="A1010" s="181"/>
      <c r="C1010" s="133"/>
      <c r="L1010" s="260"/>
      <c r="X1010" s="260"/>
      <c r="Y1010" s="170"/>
      <c r="AJ1010" s="260"/>
      <c r="BD1010" s="260"/>
      <c r="BY1010" s="260"/>
      <c r="CJ1010" s="260"/>
      <c r="CN1010" s="170"/>
      <c r="CP1010" s="260"/>
      <c r="CS1010" s="260"/>
      <c r="CV1010" s="260"/>
      <c r="CY1010" s="260"/>
      <c r="DB1010" s="260"/>
    </row>
    <row r="1011" spans="1:106" s="144" customFormat="1" x14ac:dyDescent="0.25">
      <c r="A1011" s="181"/>
      <c r="C1011" s="133"/>
      <c r="L1011" s="260"/>
      <c r="X1011" s="260"/>
      <c r="Y1011" s="170"/>
      <c r="AJ1011" s="260"/>
      <c r="BD1011" s="260"/>
      <c r="BY1011" s="260"/>
      <c r="CJ1011" s="260"/>
      <c r="CN1011" s="170"/>
      <c r="CP1011" s="260"/>
      <c r="CS1011" s="260"/>
      <c r="CV1011" s="260"/>
      <c r="CY1011" s="260"/>
      <c r="DB1011" s="260"/>
    </row>
    <row r="1012" spans="1:106" s="144" customFormat="1" x14ac:dyDescent="0.25">
      <c r="A1012" s="181"/>
      <c r="C1012" s="133"/>
      <c r="L1012" s="260"/>
      <c r="X1012" s="260"/>
      <c r="Y1012" s="170"/>
      <c r="AJ1012" s="260"/>
      <c r="BD1012" s="260"/>
      <c r="BY1012" s="260"/>
      <c r="CJ1012" s="260"/>
      <c r="CN1012" s="170"/>
      <c r="CP1012" s="260"/>
      <c r="CS1012" s="260"/>
      <c r="CV1012" s="260"/>
      <c r="CY1012" s="260"/>
      <c r="DB1012" s="260"/>
    </row>
    <row r="1013" spans="1:106" s="144" customFormat="1" x14ac:dyDescent="0.25">
      <c r="A1013" s="181"/>
      <c r="C1013" s="133"/>
      <c r="L1013" s="260"/>
      <c r="X1013" s="260"/>
      <c r="Y1013" s="170"/>
      <c r="AJ1013" s="260"/>
      <c r="BD1013" s="260"/>
      <c r="BY1013" s="260"/>
      <c r="CJ1013" s="260"/>
      <c r="CN1013" s="170"/>
      <c r="CP1013" s="260"/>
      <c r="CS1013" s="260"/>
      <c r="CV1013" s="260"/>
      <c r="CY1013" s="260"/>
      <c r="DB1013" s="260"/>
    </row>
    <row r="1014" spans="1:106" s="144" customFormat="1" x14ac:dyDescent="0.25">
      <c r="A1014" s="181"/>
      <c r="C1014" s="133"/>
      <c r="L1014" s="260"/>
      <c r="X1014" s="260"/>
      <c r="Y1014" s="170"/>
      <c r="AJ1014" s="260"/>
      <c r="BD1014" s="260"/>
      <c r="BY1014" s="260"/>
      <c r="CJ1014" s="260"/>
      <c r="CN1014" s="170"/>
      <c r="CP1014" s="260"/>
      <c r="CS1014" s="260"/>
      <c r="CV1014" s="260"/>
      <c r="CY1014" s="260"/>
      <c r="DB1014" s="260"/>
    </row>
    <row r="1015" spans="1:106" s="144" customFormat="1" x14ac:dyDescent="0.25">
      <c r="A1015" s="181"/>
      <c r="C1015" s="133"/>
      <c r="L1015" s="260"/>
      <c r="X1015" s="260"/>
      <c r="Y1015" s="170"/>
      <c r="AJ1015" s="260"/>
      <c r="BD1015" s="260"/>
      <c r="BY1015" s="260"/>
      <c r="CJ1015" s="260"/>
      <c r="CN1015" s="170"/>
      <c r="CP1015" s="260"/>
      <c r="CS1015" s="260"/>
      <c r="CV1015" s="260"/>
      <c r="CY1015" s="260"/>
      <c r="DB1015" s="260"/>
    </row>
    <row r="1016" spans="1:106" s="144" customFormat="1" x14ac:dyDescent="0.25">
      <c r="A1016" s="181"/>
      <c r="C1016" s="133"/>
      <c r="L1016" s="260"/>
      <c r="X1016" s="260"/>
      <c r="Y1016" s="170"/>
      <c r="AJ1016" s="260"/>
      <c r="BD1016" s="260"/>
      <c r="BY1016" s="260"/>
      <c r="CJ1016" s="260"/>
      <c r="CN1016" s="170"/>
      <c r="CP1016" s="260"/>
      <c r="CS1016" s="260"/>
      <c r="CV1016" s="260"/>
      <c r="CY1016" s="260"/>
      <c r="DB1016" s="260"/>
    </row>
    <row r="1017" spans="1:106" s="144" customFormat="1" x14ac:dyDescent="0.25">
      <c r="A1017" s="181"/>
      <c r="C1017" s="133"/>
      <c r="L1017" s="260"/>
      <c r="X1017" s="260"/>
      <c r="Y1017" s="170"/>
      <c r="AJ1017" s="260"/>
      <c r="BD1017" s="260"/>
      <c r="BY1017" s="260"/>
      <c r="CJ1017" s="260"/>
      <c r="CN1017" s="170"/>
      <c r="CP1017" s="260"/>
      <c r="CS1017" s="260"/>
      <c r="CV1017" s="260"/>
      <c r="CY1017" s="260"/>
      <c r="DB1017" s="260"/>
    </row>
    <row r="1018" spans="1:106" s="144" customFormat="1" x14ac:dyDescent="0.25">
      <c r="A1018" s="181"/>
      <c r="C1018" s="133"/>
      <c r="L1018" s="260"/>
      <c r="X1018" s="260"/>
      <c r="Y1018" s="170"/>
      <c r="AJ1018" s="260"/>
      <c r="BD1018" s="260"/>
      <c r="BY1018" s="260"/>
      <c r="CJ1018" s="260"/>
      <c r="CN1018" s="170"/>
      <c r="CP1018" s="260"/>
      <c r="CS1018" s="260"/>
      <c r="CV1018" s="260"/>
      <c r="CY1018" s="260"/>
      <c r="DB1018" s="260"/>
    </row>
    <row r="1019" spans="1:106" s="144" customFormat="1" x14ac:dyDescent="0.25">
      <c r="A1019" s="181"/>
      <c r="C1019" s="133"/>
      <c r="L1019" s="260"/>
      <c r="X1019" s="260"/>
      <c r="Y1019" s="170"/>
      <c r="AJ1019" s="260"/>
      <c r="BD1019" s="260"/>
      <c r="BY1019" s="260"/>
      <c r="CJ1019" s="260"/>
      <c r="CN1019" s="170"/>
      <c r="CP1019" s="260"/>
      <c r="CS1019" s="260"/>
      <c r="CV1019" s="260"/>
      <c r="CY1019" s="260"/>
      <c r="DB1019" s="260"/>
    </row>
    <row r="1020" spans="1:106" s="144" customFormat="1" x14ac:dyDescent="0.25">
      <c r="A1020" s="181"/>
      <c r="C1020" s="133"/>
      <c r="L1020" s="260"/>
      <c r="X1020" s="260"/>
      <c r="Y1020" s="170"/>
      <c r="AJ1020" s="260"/>
      <c r="BD1020" s="260"/>
      <c r="BY1020" s="260"/>
      <c r="CJ1020" s="260"/>
      <c r="CN1020" s="170"/>
      <c r="CP1020" s="260"/>
      <c r="CS1020" s="260"/>
      <c r="CV1020" s="260"/>
      <c r="CY1020" s="260"/>
      <c r="DB1020" s="260"/>
    </row>
    <row r="1021" spans="1:106" s="144" customFormat="1" x14ac:dyDescent="0.25">
      <c r="A1021" s="181"/>
      <c r="C1021" s="133"/>
      <c r="L1021" s="260"/>
      <c r="X1021" s="260"/>
      <c r="Y1021" s="170"/>
      <c r="AJ1021" s="260"/>
      <c r="BD1021" s="260"/>
      <c r="BY1021" s="260"/>
      <c r="CJ1021" s="260"/>
      <c r="CN1021" s="170"/>
      <c r="CP1021" s="260"/>
      <c r="CS1021" s="260"/>
      <c r="CV1021" s="260"/>
      <c r="CY1021" s="260"/>
      <c r="DB1021" s="260"/>
    </row>
    <row r="1022" spans="1:106" s="144" customFormat="1" x14ac:dyDescent="0.25">
      <c r="A1022" s="181"/>
      <c r="C1022" s="133"/>
      <c r="L1022" s="260"/>
      <c r="X1022" s="260"/>
      <c r="Y1022" s="170"/>
      <c r="AJ1022" s="260"/>
      <c r="BD1022" s="260"/>
      <c r="BY1022" s="260"/>
      <c r="CJ1022" s="260"/>
      <c r="CN1022" s="170"/>
      <c r="CP1022" s="260"/>
      <c r="CS1022" s="260"/>
      <c r="CV1022" s="260"/>
      <c r="CY1022" s="260"/>
      <c r="DB1022" s="260"/>
    </row>
    <row r="1023" spans="1:106" s="144" customFormat="1" x14ac:dyDescent="0.25">
      <c r="A1023" s="181"/>
      <c r="C1023" s="133"/>
      <c r="L1023" s="260"/>
      <c r="X1023" s="260"/>
      <c r="Y1023" s="170"/>
      <c r="AJ1023" s="260"/>
      <c r="BD1023" s="260"/>
      <c r="BY1023" s="260"/>
      <c r="CJ1023" s="260"/>
      <c r="CN1023" s="170"/>
      <c r="CP1023" s="260"/>
      <c r="CS1023" s="260"/>
      <c r="CV1023" s="260"/>
      <c r="CY1023" s="260"/>
      <c r="DB1023" s="260"/>
    </row>
    <row r="1024" spans="1:106" s="144" customFormat="1" x14ac:dyDescent="0.25">
      <c r="A1024" s="181"/>
      <c r="C1024" s="133"/>
      <c r="L1024" s="260"/>
      <c r="X1024" s="260"/>
      <c r="Y1024" s="170"/>
      <c r="AJ1024" s="260"/>
      <c r="BD1024" s="260"/>
      <c r="BY1024" s="260"/>
      <c r="CJ1024" s="260"/>
      <c r="CN1024" s="170"/>
      <c r="CP1024" s="260"/>
      <c r="CS1024" s="260"/>
      <c r="CV1024" s="260"/>
      <c r="CY1024" s="260"/>
      <c r="DB1024" s="260"/>
    </row>
    <row r="1025" spans="1:106" s="144" customFormat="1" x14ac:dyDescent="0.25">
      <c r="A1025" s="181"/>
      <c r="C1025" s="133"/>
      <c r="L1025" s="260"/>
      <c r="X1025" s="260"/>
      <c r="Y1025" s="170"/>
      <c r="AJ1025" s="260"/>
      <c r="BD1025" s="260"/>
      <c r="BY1025" s="260"/>
      <c r="CJ1025" s="260"/>
      <c r="CN1025" s="170"/>
      <c r="CP1025" s="260"/>
      <c r="CS1025" s="260"/>
      <c r="CV1025" s="260"/>
      <c r="CY1025" s="260"/>
      <c r="DB1025" s="260"/>
    </row>
    <row r="1026" spans="1:106" s="144" customFormat="1" x14ac:dyDescent="0.25">
      <c r="A1026" s="181"/>
      <c r="C1026" s="133"/>
      <c r="L1026" s="260"/>
      <c r="X1026" s="260"/>
      <c r="Y1026" s="170"/>
      <c r="AJ1026" s="260"/>
      <c r="BD1026" s="260"/>
      <c r="BY1026" s="260"/>
      <c r="CJ1026" s="260"/>
      <c r="CN1026" s="170"/>
      <c r="CP1026" s="260"/>
      <c r="CS1026" s="260"/>
      <c r="CV1026" s="260"/>
      <c r="CY1026" s="260"/>
      <c r="DB1026" s="260"/>
    </row>
    <row r="1027" spans="1:106" s="144" customFormat="1" x14ac:dyDescent="0.25">
      <c r="A1027" s="181"/>
      <c r="C1027" s="133"/>
      <c r="L1027" s="260"/>
      <c r="X1027" s="260"/>
      <c r="Y1027" s="170"/>
      <c r="AJ1027" s="260"/>
      <c r="BD1027" s="260"/>
      <c r="BY1027" s="260"/>
      <c r="CJ1027" s="260"/>
      <c r="CN1027" s="170"/>
      <c r="CP1027" s="260"/>
      <c r="CS1027" s="260"/>
      <c r="CV1027" s="260"/>
      <c r="CY1027" s="260"/>
      <c r="DB1027" s="260"/>
    </row>
    <row r="1028" spans="1:106" s="144" customFormat="1" x14ac:dyDescent="0.25">
      <c r="A1028" s="181"/>
      <c r="C1028" s="133"/>
      <c r="L1028" s="260"/>
      <c r="X1028" s="260"/>
      <c r="Y1028" s="170"/>
      <c r="AJ1028" s="260"/>
      <c r="BD1028" s="260"/>
      <c r="BY1028" s="260"/>
      <c r="CJ1028" s="260"/>
      <c r="CN1028" s="170"/>
      <c r="CP1028" s="260"/>
      <c r="CS1028" s="260"/>
      <c r="CV1028" s="260"/>
      <c r="CY1028" s="260"/>
      <c r="DB1028" s="260"/>
    </row>
    <row r="1029" spans="1:106" s="144" customFormat="1" x14ac:dyDescent="0.25">
      <c r="A1029" s="181"/>
      <c r="C1029" s="133"/>
      <c r="L1029" s="260"/>
      <c r="X1029" s="260"/>
      <c r="Y1029" s="170"/>
      <c r="AJ1029" s="260"/>
      <c r="BD1029" s="260"/>
      <c r="BY1029" s="260"/>
      <c r="CJ1029" s="260"/>
      <c r="CN1029" s="170"/>
      <c r="CP1029" s="260"/>
      <c r="CS1029" s="260"/>
      <c r="CV1029" s="260"/>
      <c r="CY1029" s="260"/>
      <c r="DB1029" s="260"/>
    </row>
    <row r="1030" spans="1:106" s="144" customFormat="1" x14ac:dyDescent="0.25">
      <c r="A1030" s="181"/>
      <c r="C1030" s="133"/>
      <c r="L1030" s="260"/>
      <c r="X1030" s="260"/>
      <c r="Y1030" s="170"/>
      <c r="AJ1030" s="260"/>
      <c r="BD1030" s="260"/>
      <c r="BY1030" s="260"/>
      <c r="CJ1030" s="260"/>
      <c r="CN1030" s="170"/>
      <c r="CP1030" s="260"/>
      <c r="CS1030" s="260"/>
      <c r="CV1030" s="260"/>
      <c r="CY1030" s="260"/>
      <c r="DB1030" s="260"/>
    </row>
    <row r="1031" spans="1:106" s="144" customFormat="1" x14ac:dyDescent="0.25">
      <c r="A1031" s="181"/>
      <c r="C1031" s="133"/>
      <c r="L1031" s="260"/>
      <c r="X1031" s="260"/>
      <c r="Y1031" s="170"/>
      <c r="AJ1031" s="260"/>
      <c r="BD1031" s="260"/>
      <c r="BY1031" s="260"/>
      <c r="CJ1031" s="260"/>
      <c r="CN1031" s="170"/>
      <c r="CP1031" s="260"/>
      <c r="CS1031" s="260"/>
      <c r="CV1031" s="260"/>
      <c r="CY1031" s="260"/>
      <c r="DB1031" s="260"/>
    </row>
    <row r="1032" spans="1:106" s="144" customFormat="1" x14ac:dyDescent="0.25">
      <c r="A1032" s="181"/>
      <c r="C1032" s="133"/>
      <c r="L1032" s="260"/>
      <c r="X1032" s="260"/>
      <c r="Y1032" s="170"/>
      <c r="AJ1032" s="260"/>
      <c r="BD1032" s="260"/>
      <c r="BY1032" s="260"/>
      <c r="CJ1032" s="260"/>
      <c r="CN1032" s="170"/>
      <c r="CP1032" s="260"/>
      <c r="CS1032" s="260"/>
      <c r="CV1032" s="260"/>
      <c r="CY1032" s="260"/>
      <c r="DB1032" s="260"/>
    </row>
  </sheetData>
  <customSheetViews>
    <customSheetView guid="{8442AA88-ADEF-4FA4-A0EE-6766316D434A}" showPageBreaks="1" fitToPage="1" printArea="1" hiddenRows="1" hiddenColumns="1" state="hidden" topLeftCell="X1">
      <selection activeCell="AC3" sqref="AC3"/>
      <pageMargins left="0.7" right="0.7" top="0.75" bottom="0.75" header="0.3" footer="0.3"/>
      <pageSetup paperSize="9" scale="10" fitToHeight="6" orientation="landscape" r:id="rId1"/>
    </customSheetView>
    <customSheetView guid="{EA954A94-0925-4B55-A5F9-D4174EC390C8}" fitToPage="1" hiddenRows="1" hiddenColumns="1" state="hidden" topLeftCell="X1">
      <selection activeCell="AC3" sqref="AC3"/>
      <pageMargins left="0.7" right="0.7" top="0.75" bottom="0.75" header="0.3" footer="0.3"/>
      <pageSetup paperSize="9" scale="20" fitToHeight="6" orientation="landscape" r:id="rId2"/>
    </customSheetView>
    <customSheetView guid="{34FA952C-E72B-48B6-AF96-087503123C99}" fitToPage="1" hiddenRows="1" hiddenColumns="1" state="hidden" topLeftCell="X1">
      <selection activeCell="AC3" sqref="AC3"/>
      <pageMargins left="0.7" right="0.7" top="0.75" bottom="0.75" header="0.3" footer="0.3"/>
      <pageSetup paperSize="9" scale="20" fitToHeight="6" orientation="landscape" r:id="rId3"/>
    </customSheetView>
    <customSheetView guid="{90D94AD3-72F0-4571-90B7-50B859C4832B}" fitToPage="1" hiddenRows="1" hiddenColumns="1" state="hidden" topLeftCell="X1">
      <selection activeCell="AC3" sqref="AC3"/>
      <pageMargins left="0.7" right="0.7" top="0.75" bottom="0.75" header="0.3" footer="0.3"/>
      <pageSetup paperSize="9" scale="20" fitToHeight="6" orientation="landscape" r:id="rId4"/>
    </customSheetView>
  </customSheetViews>
  <mergeCells count="31">
    <mergeCell ref="AY2:AZ2"/>
    <mergeCell ref="BA2:BH2"/>
    <mergeCell ref="BI2:BN2"/>
    <mergeCell ref="BW2:CC2"/>
    <mergeCell ref="CD2:CH2"/>
    <mergeCell ref="DA1:DC1"/>
    <mergeCell ref="DD1:DF1"/>
    <mergeCell ref="DG1:DI1"/>
    <mergeCell ref="DJ1:DL1"/>
    <mergeCell ref="DM1:DO1"/>
    <mergeCell ref="B2:F2"/>
    <mergeCell ref="G2:H2"/>
    <mergeCell ref="I2:P2"/>
    <mergeCell ref="Q2:V2"/>
    <mergeCell ref="Z2:AD2"/>
    <mergeCell ref="CX1:CZ1"/>
    <mergeCell ref="A1:A3"/>
    <mergeCell ref="B1:V1"/>
    <mergeCell ref="W1:Y1"/>
    <mergeCell ref="Z1:AT1"/>
    <mergeCell ref="AU1:BN1"/>
    <mergeCell ref="BO1:CH1"/>
    <mergeCell ref="AE2:AF2"/>
    <mergeCell ref="AG2:AN2"/>
    <mergeCell ref="AO2:AT2"/>
    <mergeCell ref="AU2:AX2"/>
    <mergeCell ref="CI1:CK1"/>
    <mergeCell ref="CL1:CN1"/>
    <mergeCell ref="CO1:CQ1"/>
    <mergeCell ref="CR1:CT1"/>
    <mergeCell ref="CU1:CW1"/>
  </mergeCells>
  <pageMargins left="0.7" right="0.7" top="0.75" bottom="0.75" header="0.3" footer="0.3"/>
  <pageSetup paperSize="9" scale="20" fitToHeight="6" orientation="landscape"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workbookViewId="0">
      <selection activeCell="I8" sqref="I8"/>
    </sheetView>
  </sheetViews>
  <sheetFormatPr defaultRowHeight="15" x14ac:dyDescent="0.25"/>
  <cols>
    <col min="1" max="1" width="27.42578125" customWidth="1"/>
    <col min="2" max="2" width="16.28515625" customWidth="1"/>
    <col min="3" max="3" width="15.28515625" customWidth="1"/>
    <col min="4" max="4" width="22.85546875" customWidth="1"/>
    <col min="5" max="5" width="27.85546875" customWidth="1"/>
  </cols>
  <sheetData>
    <row r="1" spans="1:5" ht="24.75" customHeight="1" x14ac:dyDescent="0.25">
      <c r="A1" s="316" t="s">
        <v>0</v>
      </c>
      <c r="B1" s="314" t="s">
        <v>173</v>
      </c>
      <c r="C1" s="314"/>
      <c r="D1" s="314"/>
      <c r="E1" s="315"/>
    </row>
    <row r="2" spans="1:5" ht="58.5" customHeight="1" x14ac:dyDescent="0.25">
      <c r="A2" s="317"/>
      <c r="B2" s="297" t="s">
        <v>128</v>
      </c>
      <c r="C2" s="294" t="s">
        <v>124</v>
      </c>
      <c r="D2" s="297" t="s">
        <v>129</v>
      </c>
      <c r="E2" s="295" t="s">
        <v>130</v>
      </c>
    </row>
    <row r="3" spans="1:5" x14ac:dyDescent="0.25">
      <c r="A3" s="298" t="s">
        <v>29</v>
      </c>
      <c r="B3" s="299">
        <v>50</v>
      </c>
      <c r="C3" s="306">
        <v>1200</v>
      </c>
      <c r="D3" s="301" t="s">
        <v>175</v>
      </c>
      <c r="E3" s="304">
        <f>B3*C3</f>
        <v>60000</v>
      </c>
    </row>
    <row r="4" spans="1:5" x14ac:dyDescent="0.25">
      <c r="A4" s="298" t="s">
        <v>31</v>
      </c>
      <c r="B4" s="299">
        <v>30</v>
      </c>
      <c r="C4" s="306">
        <v>1200</v>
      </c>
      <c r="D4" s="301" t="s">
        <v>175</v>
      </c>
      <c r="E4" s="304">
        <f t="shared" ref="E4:E27" si="0">B4*C4</f>
        <v>36000</v>
      </c>
    </row>
    <row r="5" spans="1:5" x14ac:dyDescent="0.25">
      <c r="A5" s="298" t="s">
        <v>33</v>
      </c>
      <c r="B5" s="299">
        <v>300</v>
      </c>
      <c r="C5" s="306">
        <v>1200</v>
      </c>
      <c r="D5" s="301" t="s">
        <v>175</v>
      </c>
      <c r="E5" s="304">
        <f t="shared" si="0"/>
        <v>360000</v>
      </c>
    </row>
    <row r="6" spans="1:5" x14ac:dyDescent="0.25">
      <c r="A6" s="298" t="s">
        <v>115</v>
      </c>
      <c r="B6" s="299">
        <v>40</v>
      </c>
      <c r="C6" s="306">
        <v>1200</v>
      </c>
      <c r="D6" s="301" t="s">
        <v>175</v>
      </c>
      <c r="E6" s="304">
        <f t="shared" si="0"/>
        <v>48000</v>
      </c>
    </row>
    <row r="7" spans="1:5" x14ac:dyDescent="0.25">
      <c r="A7" s="298" t="s">
        <v>50</v>
      </c>
      <c r="B7" s="299">
        <v>35</v>
      </c>
      <c r="C7" s="306">
        <v>1200</v>
      </c>
      <c r="D7" s="301" t="s">
        <v>175</v>
      </c>
      <c r="E7" s="304">
        <f t="shared" si="0"/>
        <v>42000</v>
      </c>
    </row>
    <row r="8" spans="1:5" x14ac:dyDescent="0.25">
      <c r="A8" s="298" t="s">
        <v>52</v>
      </c>
      <c r="B8" s="299">
        <v>15</v>
      </c>
      <c r="C8" s="306">
        <v>1200</v>
      </c>
      <c r="D8" s="301" t="s">
        <v>175</v>
      </c>
      <c r="E8" s="304">
        <f t="shared" si="0"/>
        <v>18000</v>
      </c>
    </row>
    <row r="9" spans="1:5" x14ac:dyDescent="0.25">
      <c r="A9" s="298" t="s">
        <v>53</v>
      </c>
      <c r="B9" s="299">
        <v>150</v>
      </c>
      <c r="C9" s="306">
        <v>1200</v>
      </c>
      <c r="D9" s="301" t="s">
        <v>175</v>
      </c>
      <c r="E9" s="304">
        <f t="shared" si="0"/>
        <v>180000</v>
      </c>
    </row>
    <row r="10" spans="1:5" x14ac:dyDescent="0.25">
      <c r="A10" s="298" t="s">
        <v>125</v>
      </c>
      <c r="B10" s="299">
        <v>25</v>
      </c>
      <c r="C10" s="306">
        <v>1200</v>
      </c>
      <c r="D10" s="301" t="s">
        <v>175</v>
      </c>
      <c r="E10" s="304">
        <f t="shared" si="0"/>
        <v>30000</v>
      </c>
    </row>
    <row r="11" spans="1:5" x14ac:dyDescent="0.25">
      <c r="A11" s="298" t="s">
        <v>60</v>
      </c>
      <c r="B11" s="299">
        <v>90</v>
      </c>
      <c r="C11" s="306">
        <v>1200</v>
      </c>
      <c r="D11" s="301" t="s">
        <v>175</v>
      </c>
      <c r="E11" s="304">
        <f t="shared" si="0"/>
        <v>108000</v>
      </c>
    </row>
    <row r="12" spans="1:5" x14ac:dyDescent="0.25">
      <c r="A12" s="298" t="s">
        <v>126</v>
      </c>
      <c r="B12" s="299">
        <v>45</v>
      </c>
      <c r="C12" s="306">
        <v>1200</v>
      </c>
      <c r="D12" s="301" t="s">
        <v>175</v>
      </c>
      <c r="E12" s="304">
        <f t="shared" si="0"/>
        <v>54000</v>
      </c>
    </row>
    <row r="13" spans="1:5" x14ac:dyDescent="0.25">
      <c r="A13" s="298" t="s">
        <v>118</v>
      </c>
      <c r="B13" s="299">
        <v>20</v>
      </c>
      <c r="C13" s="306">
        <v>1200</v>
      </c>
      <c r="D13" s="301" t="s">
        <v>175</v>
      </c>
      <c r="E13" s="304">
        <f t="shared" si="0"/>
        <v>24000</v>
      </c>
    </row>
    <row r="14" spans="1:5" x14ac:dyDescent="0.25">
      <c r="A14" s="298" t="s">
        <v>69</v>
      </c>
      <c r="B14" s="299">
        <v>120</v>
      </c>
      <c r="C14" s="306">
        <v>1200</v>
      </c>
      <c r="D14" s="301" t="s">
        <v>175</v>
      </c>
      <c r="E14" s="304">
        <f t="shared" si="0"/>
        <v>144000</v>
      </c>
    </row>
    <row r="15" spans="1:5" x14ac:dyDescent="0.25">
      <c r="A15" s="298" t="s">
        <v>72</v>
      </c>
      <c r="B15" s="299">
        <v>100</v>
      </c>
      <c r="C15" s="306">
        <v>1200</v>
      </c>
      <c r="D15" s="301" t="s">
        <v>175</v>
      </c>
      <c r="E15" s="304">
        <f t="shared" si="0"/>
        <v>120000</v>
      </c>
    </row>
    <row r="16" spans="1:5" x14ac:dyDescent="0.25">
      <c r="A16" s="298" t="s">
        <v>77</v>
      </c>
      <c r="B16" s="299">
        <v>300</v>
      </c>
      <c r="C16" s="306">
        <v>1200</v>
      </c>
      <c r="D16" s="301" t="s">
        <v>175</v>
      </c>
      <c r="E16" s="304">
        <f t="shared" si="0"/>
        <v>360000</v>
      </c>
    </row>
    <row r="17" spans="1:5" x14ac:dyDescent="0.25">
      <c r="A17" s="298" t="s">
        <v>82</v>
      </c>
      <c r="B17" s="299">
        <v>70</v>
      </c>
      <c r="C17" s="306">
        <v>1200</v>
      </c>
      <c r="D17" s="301" t="s">
        <v>175</v>
      </c>
      <c r="E17" s="304">
        <f t="shared" si="0"/>
        <v>84000</v>
      </c>
    </row>
    <row r="18" spans="1:5" x14ac:dyDescent="0.25">
      <c r="A18" s="298" t="s">
        <v>127</v>
      </c>
      <c r="B18" s="299">
        <v>30</v>
      </c>
      <c r="C18" s="306">
        <v>1200</v>
      </c>
      <c r="D18" s="301" t="s">
        <v>175</v>
      </c>
      <c r="E18" s="304">
        <f t="shared" si="0"/>
        <v>36000</v>
      </c>
    </row>
    <row r="19" spans="1:5" x14ac:dyDescent="0.25">
      <c r="A19" s="298" t="s">
        <v>85</v>
      </c>
      <c r="B19" s="299">
        <v>26</v>
      </c>
      <c r="C19" s="306">
        <v>1200</v>
      </c>
      <c r="D19" s="301" t="s">
        <v>175</v>
      </c>
      <c r="E19" s="304">
        <f t="shared" si="0"/>
        <v>31200</v>
      </c>
    </row>
    <row r="20" spans="1:5" x14ac:dyDescent="0.25">
      <c r="A20" s="298" t="s">
        <v>86</v>
      </c>
      <c r="B20" s="299">
        <v>20</v>
      </c>
      <c r="C20" s="306">
        <v>1200</v>
      </c>
      <c r="D20" s="301" t="s">
        <v>175</v>
      </c>
      <c r="E20" s="304">
        <f t="shared" si="0"/>
        <v>24000</v>
      </c>
    </row>
    <row r="21" spans="1:5" x14ac:dyDescent="0.25">
      <c r="A21" s="298" t="s">
        <v>88</v>
      </c>
      <c r="B21" s="299">
        <v>170</v>
      </c>
      <c r="C21" s="306">
        <v>1200</v>
      </c>
      <c r="D21" s="301" t="s">
        <v>175</v>
      </c>
      <c r="E21" s="304">
        <f t="shared" si="0"/>
        <v>204000</v>
      </c>
    </row>
    <row r="22" spans="1:5" x14ac:dyDescent="0.25">
      <c r="A22" s="298" t="s">
        <v>92</v>
      </c>
      <c r="B22" s="299">
        <v>55</v>
      </c>
      <c r="C22" s="306">
        <v>1200</v>
      </c>
      <c r="D22" s="301" t="s">
        <v>175</v>
      </c>
      <c r="E22" s="304">
        <f t="shared" si="0"/>
        <v>66000</v>
      </c>
    </row>
    <row r="23" spans="1:5" x14ac:dyDescent="0.25">
      <c r="A23" s="298" t="s">
        <v>94</v>
      </c>
      <c r="B23" s="299">
        <v>30</v>
      </c>
      <c r="C23" s="306">
        <v>1200</v>
      </c>
      <c r="D23" s="301" t="s">
        <v>175</v>
      </c>
      <c r="E23" s="304">
        <f t="shared" si="0"/>
        <v>36000</v>
      </c>
    </row>
    <row r="24" spans="1:5" x14ac:dyDescent="0.25">
      <c r="A24" s="298" t="s">
        <v>96</v>
      </c>
      <c r="B24" s="299">
        <v>50</v>
      </c>
      <c r="C24" s="306">
        <v>1200</v>
      </c>
      <c r="D24" s="301" t="s">
        <v>175</v>
      </c>
      <c r="E24" s="304">
        <f t="shared" si="0"/>
        <v>60000</v>
      </c>
    </row>
    <row r="25" spans="1:5" x14ac:dyDescent="0.25">
      <c r="A25" s="298" t="s">
        <v>105</v>
      </c>
      <c r="B25" s="299">
        <v>20</v>
      </c>
      <c r="C25" s="306">
        <v>1200</v>
      </c>
      <c r="D25" s="301" t="s">
        <v>175</v>
      </c>
      <c r="E25" s="304">
        <f t="shared" si="0"/>
        <v>24000</v>
      </c>
    </row>
    <row r="26" spans="1:5" x14ac:dyDescent="0.25">
      <c r="A26" s="298" t="s">
        <v>102</v>
      </c>
      <c r="B26" s="299">
        <v>25</v>
      </c>
      <c r="C26" s="306">
        <v>1200</v>
      </c>
      <c r="D26" s="301" t="s">
        <v>175</v>
      </c>
      <c r="E26" s="304">
        <f t="shared" si="0"/>
        <v>30000</v>
      </c>
    </row>
    <row r="27" spans="1:5" x14ac:dyDescent="0.25">
      <c r="A27" s="298" t="s">
        <v>172</v>
      </c>
      <c r="B27" s="299">
        <v>990</v>
      </c>
      <c r="C27" s="306">
        <v>1200</v>
      </c>
      <c r="D27" s="301" t="s">
        <v>175</v>
      </c>
      <c r="E27" s="304">
        <f t="shared" si="0"/>
        <v>1188000</v>
      </c>
    </row>
    <row r="28" spans="1:5" ht="16.5" thickBot="1" x14ac:dyDescent="0.3">
      <c r="A28" s="300" t="s">
        <v>174</v>
      </c>
      <c r="B28" s="302">
        <f>SUM(B3:B27)</f>
        <v>2806</v>
      </c>
      <c r="C28" s="302"/>
      <c r="D28" s="303"/>
      <c r="E28" s="305">
        <f>SUM(E3:E27)</f>
        <v>3367200</v>
      </c>
    </row>
  </sheetData>
  <mergeCells count="2">
    <mergeCell ref="B1:E1"/>
    <mergeCell ref="A1:A2"/>
  </mergeCells>
  <pageMargins left="0.7" right="0.7" top="0.75" bottom="0.75" header="0.3" footer="0.3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341"/>
  <sheetViews>
    <sheetView tabSelected="1" zoomScaleNormal="70" workbookViewId="0">
      <selection activeCell="D32" sqref="D32"/>
    </sheetView>
  </sheetViews>
  <sheetFormatPr defaultRowHeight="12.75" x14ac:dyDescent="0.25"/>
  <cols>
    <col min="1" max="1" width="25" style="231" bestFit="1" customWidth="1"/>
    <col min="2" max="2" width="0.140625" style="232" customWidth="1"/>
    <col min="3" max="3" width="12" style="232" customWidth="1"/>
    <col min="4" max="4" width="12" style="239" customWidth="1"/>
    <col min="5" max="5" width="15.7109375" style="286" customWidth="1"/>
    <col min="6" max="6" width="14.42578125" style="232" customWidth="1"/>
    <col min="7" max="7" width="10.5703125" style="232" customWidth="1"/>
    <col min="8" max="8" width="11.140625" style="239" customWidth="1"/>
    <col min="9" max="9" width="13.5703125" style="286" bestFit="1" customWidth="1"/>
    <col min="10" max="10" width="12.28515625" style="232" customWidth="1"/>
    <col min="11" max="11" width="10.7109375" style="239" customWidth="1"/>
    <col min="12" max="12" width="14.7109375" style="286" customWidth="1"/>
    <col min="13" max="13" width="13.42578125" style="232" customWidth="1"/>
    <col min="14" max="15" width="9.140625" style="232" customWidth="1"/>
    <col min="16" max="16" width="17.42578125" style="232" customWidth="1"/>
    <col min="17" max="17" width="11.140625" style="232" hidden="1" customWidth="1"/>
    <col min="18" max="19" width="8.140625" style="232" hidden="1" customWidth="1"/>
    <col min="20" max="20" width="6.85546875" style="232" hidden="1" customWidth="1"/>
    <col min="21" max="23" width="9.140625" style="232" hidden="1" customWidth="1"/>
    <col min="24" max="24" width="13.140625" style="232" hidden="1" customWidth="1"/>
    <col min="25" max="28" width="9.140625" style="232" hidden="1" customWidth="1"/>
    <col min="29" max="29" width="12.5703125" style="232" hidden="1" customWidth="1"/>
    <col min="30" max="30" width="15.7109375" style="232" customWidth="1"/>
    <col min="31" max="31" width="15.7109375" style="239" customWidth="1"/>
    <col min="32" max="32" width="13" style="286" customWidth="1"/>
    <col min="33" max="33" width="15.28515625" style="232" customWidth="1"/>
    <col min="34" max="34" width="13" style="232" customWidth="1"/>
    <col min="35" max="35" width="12.85546875" style="286" customWidth="1"/>
    <col min="36" max="36" width="13.140625" style="232" customWidth="1"/>
    <col min="37" max="37" width="9.85546875" style="239" customWidth="1"/>
    <col min="38" max="38" width="10.42578125" style="293" customWidth="1"/>
    <col min="39" max="63" width="11.85546875" style="228" bestFit="1" customWidth="1"/>
    <col min="64" max="90" width="9.140625" style="228"/>
    <col min="91" max="16384" width="9.140625" style="232"/>
  </cols>
  <sheetData>
    <row r="1" spans="1:70" s="233" customFormat="1" ht="61.5" customHeight="1" thickBot="1" x14ac:dyDescent="0.3">
      <c r="A1" s="318" t="s">
        <v>0</v>
      </c>
      <c r="B1" s="320" t="s">
        <v>1</v>
      </c>
      <c r="C1" s="320"/>
      <c r="D1" s="320"/>
      <c r="E1" s="320"/>
      <c r="F1" s="320"/>
      <c r="G1" s="320" t="s">
        <v>171</v>
      </c>
      <c r="H1" s="320"/>
      <c r="I1" s="327"/>
      <c r="J1" s="321" t="s">
        <v>176</v>
      </c>
      <c r="K1" s="321"/>
      <c r="L1" s="321"/>
      <c r="M1" s="321"/>
      <c r="N1" s="326" t="s">
        <v>4</v>
      </c>
      <c r="O1" s="326"/>
      <c r="P1" s="326"/>
      <c r="Q1" s="322"/>
      <c r="R1" s="323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226"/>
      <c r="BA1" s="226"/>
      <c r="BB1" s="226"/>
      <c r="BC1" s="226"/>
      <c r="BD1" s="226"/>
      <c r="BE1" s="226"/>
      <c r="BF1" s="226"/>
      <c r="BG1" s="226"/>
      <c r="BH1" s="226"/>
      <c r="BI1" s="226"/>
      <c r="BJ1" s="226"/>
      <c r="BK1" s="226"/>
      <c r="BL1" s="226"/>
      <c r="BM1" s="226"/>
      <c r="BN1" s="226"/>
      <c r="BO1" s="226"/>
      <c r="BP1" s="226"/>
      <c r="BQ1" s="226"/>
      <c r="BR1" s="226"/>
    </row>
    <row r="2" spans="1:70" s="234" customFormat="1" ht="15" hidden="1" customHeight="1" thickBot="1" x14ac:dyDescent="0.3">
      <c r="A2" s="319"/>
      <c r="B2" s="307"/>
      <c r="C2" s="324"/>
      <c r="D2" s="324"/>
      <c r="E2" s="324"/>
      <c r="F2" s="324"/>
      <c r="G2" s="296"/>
      <c r="H2" s="240"/>
      <c r="I2" s="282"/>
      <c r="J2" s="325"/>
      <c r="K2" s="325"/>
      <c r="L2" s="325"/>
      <c r="M2" s="325"/>
      <c r="O2" s="236"/>
      <c r="P2" s="287"/>
      <c r="Q2" s="236"/>
      <c r="R2" s="288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  <c r="BR2" s="227"/>
    </row>
    <row r="3" spans="1:70" s="234" customFormat="1" ht="90.75" customHeight="1" x14ac:dyDescent="0.25">
      <c r="A3" s="319"/>
      <c r="B3" s="296" t="s">
        <v>6</v>
      </c>
      <c r="C3" s="296" t="s">
        <v>161</v>
      </c>
      <c r="D3" s="240" t="s">
        <v>12</v>
      </c>
      <c r="E3" s="282" t="s">
        <v>164</v>
      </c>
      <c r="F3" s="296" t="s">
        <v>162</v>
      </c>
      <c r="G3" s="296" t="s">
        <v>152</v>
      </c>
      <c r="H3" s="240" t="s">
        <v>150</v>
      </c>
      <c r="I3" s="282" t="s">
        <v>151</v>
      </c>
      <c r="J3" s="296" t="s">
        <v>161</v>
      </c>
      <c r="K3" s="240" t="s">
        <v>12</v>
      </c>
      <c r="L3" s="282" t="s">
        <v>164</v>
      </c>
      <c r="M3" s="296" t="s">
        <v>162</v>
      </c>
      <c r="N3" s="296" t="s">
        <v>140</v>
      </c>
      <c r="O3" s="240" t="s">
        <v>166</v>
      </c>
      <c r="P3" s="282" t="s">
        <v>165</v>
      </c>
      <c r="Q3" s="240" t="s">
        <v>12</v>
      </c>
      <c r="R3" s="289" t="s">
        <v>164</v>
      </c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  <c r="BP3" s="227"/>
      <c r="BQ3" s="227"/>
      <c r="BR3" s="227"/>
    </row>
    <row r="4" spans="1:70" s="234" customFormat="1" x14ac:dyDescent="0.25">
      <c r="A4" s="235" t="s">
        <v>52</v>
      </c>
      <c r="B4" s="2">
        <v>828</v>
      </c>
      <c r="C4" s="238">
        <f>936*76%</f>
        <v>711.36</v>
      </c>
      <c r="D4" s="250">
        <v>299.54000000000002</v>
      </c>
      <c r="E4" s="54">
        <f t="shared" ref="E4" si="0">C4*D4</f>
        <v>213080.77440000002</v>
      </c>
      <c r="F4" s="238">
        <f>C4*58%</f>
        <v>412.58879999999999</v>
      </c>
      <c r="G4" s="238">
        <f>C4*7%</f>
        <v>49.795200000000008</v>
      </c>
      <c r="H4" s="250">
        <v>14</v>
      </c>
      <c r="I4" s="54">
        <f>G4*H4</f>
        <v>697.13280000000009</v>
      </c>
      <c r="J4" s="238">
        <f>250*75%</f>
        <v>187.5</v>
      </c>
      <c r="K4" s="250">
        <v>299.14</v>
      </c>
      <c r="L4" s="54">
        <f t="shared" ref="L4" si="1">J4*K4</f>
        <v>56088.75</v>
      </c>
      <c r="M4" s="238">
        <f>J4*66%</f>
        <v>123.75</v>
      </c>
      <c r="N4" s="232"/>
      <c r="O4" s="239"/>
      <c r="P4" s="286"/>
      <c r="Q4" s="239"/>
      <c r="R4" s="290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</row>
    <row r="5" spans="1:70" s="237" customFormat="1" ht="13.5" thickBot="1" x14ac:dyDescent="0.3">
      <c r="A5" s="223" t="s">
        <v>170</v>
      </c>
      <c r="B5" s="224"/>
      <c r="C5" s="225">
        <f>SUM(C4:C4)</f>
        <v>711.36</v>
      </c>
      <c r="D5" s="242"/>
      <c r="E5" s="281">
        <f>SUM(E4:E4)</f>
        <v>213080.77440000002</v>
      </c>
      <c r="F5" s="225">
        <f>SUM(F4:F4)</f>
        <v>412.58879999999999</v>
      </c>
      <c r="G5" s="225">
        <f>SUM(G4:G4)</f>
        <v>49.795200000000008</v>
      </c>
      <c r="H5" s="242"/>
      <c r="I5" s="281">
        <f>SUM(I4:I4)</f>
        <v>697.13280000000009</v>
      </c>
      <c r="J5" s="225">
        <f>SUM(J4:J4)</f>
        <v>187.5</v>
      </c>
      <c r="K5" s="242"/>
      <c r="L5" s="281">
        <f>SUM(L4:L4)</f>
        <v>56088.75</v>
      </c>
      <c r="M5" s="225">
        <f>SUM(M4:M4)</f>
        <v>123.75</v>
      </c>
      <c r="N5" s="225">
        <f>SUM(N4:N4)</f>
        <v>0</v>
      </c>
      <c r="O5" s="242"/>
      <c r="P5" s="281">
        <f>SUM(P4:AC4)</f>
        <v>0</v>
      </c>
      <c r="Q5" s="225"/>
      <c r="R5" s="291">
        <f>SUM(R4:R4)</f>
        <v>0</v>
      </c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</row>
    <row r="6" spans="1:70" s="227" customFormat="1" x14ac:dyDescent="0.25">
      <c r="B6" s="278"/>
      <c r="C6" s="279"/>
      <c r="D6" s="280"/>
      <c r="E6" s="283"/>
      <c r="F6" s="279"/>
      <c r="G6" s="279"/>
      <c r="H6" s="280"/>
      <c r="I6" s="283"/>
      <c r="J6" s="279"/>
      <c r="K6" s="280"/>
      <c r="L6" s="283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80"/>
      <c r="AF6" s="283"/>
      <c r="AG6" s="279"/>
      <c r="AH6" s="279"/>
      <c r="AI6" s="283"/>
      <c r="AJ6" s="279"/>
      <c r="AK6" s="279"/>
      <c r="AL6" s="283"/>
    </row>
    <row r="7" spans="1:70" s="227" customFormat="1" x14ac:dyDescent="0.25">
      <c r="B7" s="278"/>
      <c r="C7" s="279"/>
      <c r="D7" s="280"/>
      <c r="E7" s="283"/>
      <c r="F7" s="279"/>
      <c r="G7" s="279"/>
      <c r="H7" s="280"/>
      <c r="I7" s="283"/>
      <c r="J7" s="279"/>
      <c r="K7" s="280"/>
      <c r="L7" s="283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80"/>
      <c r="AF7" s="283"/>
      <c r="AG7" s="279"/>
      <c r="AH7" s="279"/>
      <c r="AI7" s="283"/>
      <c r="AJ7" s="279"/>
      <c r="AK7" s="279"/>
      <c r="AL7" s="283"/>
    </row>
    <row r="8" spans="1:70" s="228" customFormat="1" x14ac:dyDescent="0.25">
      <c r="D8" s="243"/>
      <c r="E8" s="284"/>
      <c r="H8" s="243"/>
      <c r="I8" s="284"/>
      <c r="K8" s="243"/>
      <c r="L8" s="284"/>
      <c r="AE8" s="243"/>
      <c r="AF8" s="284"/>
      <c r="AI8" s="284"/>
      <c r="AK8" s="243"/>
      <c r="AL8" s="284"/>
    </row>
    <row r="9" spans="1:70" s="228" customFormat="1" x14ac:dyDescent="0.25">
      <c r="D9" s="243"/>
      <c r="E9" s="284"/>
      <c r="H9" s="243"/>
      <c r="I9" s="284"/>
      <c r="K9" s="243"/>
      <c r="L9" s="284"/>
      <c r="AE9" s="243"/>
      <c r="AF9" s="284"/>
      <c r="AI9" s="284"/>
      <c r="AK9" s="243"/>
      <c r="AL9" s="284"/>
    </row>
    <row r="10" spans="1:70" s="228" customFormat="1" x14ac:dyDescent="0.25">
      <c r="C10" s="229"/>
      <c r="D10" s="243"/>
      <c r="E10" s="284"/>
      <c r="F10" s="229"/>
      <c r="G10" s="229"/>
      <c r="H10" s="243"/>
      <c r="I10" s="284"/>
      <c r="J10" s="229"/>
      <c r="K10" s="243"/>
      <c r="L10" s="284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43"/>
      <c r="AF10" s="284"/>
      <c r="AG10" s="229"/>
      <c r="AH10" s="229"/>
      <c r="AI10" s="284"/>
      <c r="AJ10" s="229"/>
      <c r="AK10" s="243"/>
      <c r="AL10" s="284"/>
    </row>
    <row r="11" spans="1:70" s="228" customFormat="1" x14ac:dyDescent="0.25">
      <c r="D11" s="243"/>
      <c r="E11" s="284"/>
      <c r="H11" s="243"/>
      <c r="I11" s="284"/>
      <c r="K11" s="243"/>
      <c r="L11" s="284"/>
      <c r="AE11" s="243"/>
      <c r="AF11" s="284"/>
      <c r="AI11" s="284"/>
      <c r="AK11" s="243"/>
      <c r="AL11" s="284"/>
    </row>
    <row r="12" spans="1:70" s="228" customFormat="1" x14ac:dyDescent="0.25">
      <c r="D12" s="243"/>
      <c r="E12" s="284"/>
      <c r="H12" s="243"/>
      <c r="I12" s="284"/>
      <c r="K12" s="243"/>
      <c r="L12" s="284"/>
      <c r="AE12" s="243"/>
      <c r="AF12" s="284"/>
      <c r="AI12" s="284"/>
      <c r="AK12" s="243"/>
      <c r="AL12" s="284"/>
    </row>
    <row r="13" spans="1:70" s="228" customFormat="1" x14ac:dyDescent="0.25">
      <c r="D13" s="243"/>
      <c r="E13" s="284"/>
      <c r="H13" s="243"/>
      <c r="I13" s="284"/>
      <c r="K13" s="243"/>
      <c r="L13" s="284"/>
      <c r="AE13" s="243"/>
      <c r="AF13" s="284"/>
      <c r="AI13" s="284"/>
      <c r="AK13" s="243"/>
      <c r="AL13" s="284"/>
    </row>
    <row r="14" spans="1:70" s="228" customFormat="1" x14ac:dyDescent="0.25">
      <c r="D14" s="243"/>
      <c r="E14" s="284"/>
      <c r="H14" s="243"/>
      <c r="I14" s="284"/>
      <c r="K14" s="243"/>
      <c r="L14" s="284"/>
      <c r="AE14" s="243"/>
      <c r="AF14" s="284"/>
      <c r="AI14" s="284"/>
      <c r="AK14" s="243"/>
      <c r="AL14" s="284"/>
    </row>
    <row r="15" spans="1:70" s="228" customFormat="1" x14ac:dyDescent="0.25">
      <c r="D15" s="243"/>
      <c r="E15" s="284"/>
      <c r="H15" s="243"/>
      <c r="I15" s="284"/>
      <c r="K15" s="243"/>
      <c r="L15" s="284"/>
      <c r="AE15" s="243"/>
      <c r="AF15" s="284"/>
      <c r="AI15" s="284"/>
      <c r="AK15" s="243"/>
      <c r="AL15" s="284"/>
    </row>
    <row r="16" spans="1:70" s="228" customFormat="1" x14ac:dyDescent="0.25">
      <c r="D16" s="243"/>
      <c r="E16" s="284"/>
      <c r="H16" s="243"/>
      <c r="I16" s="284"/>
      <c r="K16" s="243"/>
      <c r="L16" s="284"/>
      <c r="AE16" s="243"/>
      <c r="AF16" s="284"/>
      <c r="AI16" s="284"/>
      <c r="AK16" s="243"/>
      <c r="AL16" s="284"/>
    </row>
    <row r="17" spans="4:38" s="228" customFormat="1" x14ac:dyDescent="0.25">
      <c r="D17" s="243"/>
      <c r="E17" s="284"/>
      <c r="H17" s="243"/>
      <c r="I17" s="284"/>
      <c r="K17" s="243"/>
      <c r="L17" s="284"/>
      <c r="AE17" s="243"/>
      <c r="AF17" s="284"/>
      <c r="AI17" s="284"/>
      <c r="AK17" s="243"/>
      <c r="AL17" s="284"/>
    </row>
    <row r="18" spans="4:38" s="228" customFormat="1" x14ac:dyDescent="0.25">
      <c r="D18" s="243"/>
      <c r="E18" s="284"/>
      <c r="H18" s="243"/>
      <c r="I18" s="284"/>
      <c r="K18" s="243"/>
      <c r="L18" s="284"/>
      <c r="AE18" s="243"/>
      <c r="AF18" s="284"/>
      <c r="AI18" s="284"/>
      <c r="AK18" s="243"/>
      <c r="AL18" s="284"/>
    </row>
    <row r="19" spans="4:38" s="228" customFormat="1" x14ac:dyDescent="0.25">
      <c r="D19" s="243"/>
      <c r="E19" s="284"/>
      <c r="H19" s="243"/>
      <c r="I19" s="284"/>
      <c r="K19" s="243"/>
      <c r="L19" s="284"/>
      <c r="AE19" s="243"/>
      <c r="AF19" s="284"/>
      <c r="AI19" s="284"/>
      <c r="AK19" s="243"/>
      <c r="AL19" s="284"/>
    </row>
    <row r="20" spans="4:38" s="228" customFormat="1" x14ac:dyDescent="0.25">
      <c r="D20" s="243"/>
      <c r="E20" s="284"/>
      <c r="H20" s="243"/>
      <c r="I20" s="284"/>
      <c r="K20" s="243"/>
      <c r="L20" s="284"/>
      <c r="AE20" s="243"/>
      <c r="AF20" s="284"/>
      <c r="AI20" s="284"/>
      <c r="AK20" s="243"/>
      <c r="AL20" s="284"/>
    </row>
    <row r="21" spans="4:38" s="228" customFormat="1" x14ac:dyDescent="0.25">
      <c r="D21" s="243"/>
      <c r="E21" s="284"/>
      <c r="H21" s="243"/>
      <c r="I21" s="284"/>
      <c r="K21" s="243"/>
      <c r="L21" s="284"/>
      <c r="AE21" s="243"/>
      <c r="AF21" s="284"/>
      <c r="AI21" s="284"/>
      <c r="AK21" s="243"/>
      <c r="AL21" s="284"/>
    </row>
    <row r="22" spans="4:38" s="228" customFormat="1" x14ac:dyDescent="0.25">
      <c r="D22" s="243"/>
      <c r="E22" s="284"/>
      <c r="H22" s="243"/>
      <c r="I22" s="284"/>
      <c r="K22" s="243"/>
      <c r="L22" s="284"/>
      <c r="AE22" s="243"/>
      <c r="AF22" s="284"/>
      <c r="AI22" s="284"/>
      <c r="AK22" s="243"/>
      <c r="AL22" s="284"/>
    </row>
    <row r="23" spans="4:38" s="228" customFormat="1" x14ac:dyDescent="0.25">
      <c r="D23" s="243"/>
      <c r="E23" s="284"/>
      <c r="H23" s="243"/>
      <c r="I23" s="284"/>
      <c r="K23" s="243"/>
      <c r="L23" s="284"/>
      <c r="AE23" s="243"/>
      <c r="AF23" s="284"/>
      <c r="AI23" s="284"/>
      <c r="AK23" s="243"/>
      <c r="AL23" s="284"/>
    </row>
    <row r="24" spans="4:38" s="228" customFormat="1" x14ac:dyDescent="0.25">
      <c r="D24" s="243"/>
      <c r="E24" s="284"/>
      <c r="H24" s="243"/>
      <c r="I24" s="284"/>
      <c r="K24" s="243"/>
      <c r="L24" s="284"/>
      <c r="AE24" s="243"/>
      <c r="AF24" s="284"/>
      <c r="AI24" s="284"/>
      <c r="AK24" s="243"/>
      <c r="AL24" s="284"/>
    </row>
    <row r="25" spans="4:38" s="228" customFormat="1" x14ac:dyDescent="0.25">
      <c r="D25" s="243"/>
      <c r="E25" s="284"/>
      <c r="H25" s="243"/>
      <c r="I25" s="284"/>
      <c r="K25" s="243"/>
      <c r="L25" s="284"/>
      <c r="AE25" s="243"/>
      <c r="AF25" s="284"/>
      <c r="AI25" s="284"/>
      <c r="AK25" s="243"/>
      <c r="AL25" s="284"/>
    </row>
    <row r="26" spans="4:38" s="228" customFormat="1" x14ac:dyDescent="0.25">
      <c r="D26" s="243"/>
      <c r="E26" s="284"/>
      <c r="H26" s="243"/>
      <c r="I26" s="284"/>
      <c r="K26" s="243"/>
      <c r="L26" s="284"/>
      <c r="AE26" s="243"/>
      <c r="AF26" s="284"/>
      <c r="AI26" s="284"/>
      <c r="AK26" s="243"/>
      <c r="AL26" s="284"/>
    </row>
    <row r="27" spans="4:38" s="228" customFormat="1" x14ac:dyDescent="0.25">
      <c r="D27" s="243"/>
      <c r="E27" s="284"/>
      <c r="H27" s="243"/>
      <c r="I27" s="284"/>
      <c r="K27" s="243"/>
      <c r="L27" s="284"/>
      <c r="AE27" s="243"/>
      <c r="AF27" s="284"/>
      <c r="AI27" s="284"/>
      <c r="AK27" s="243"/>
      <c r="AL27" s="284"/>
    </row>
    <row r="28" spans="4:38" s="228" customFormat="1" x14ac:dyDescent="0.25">
      <c r="D28" s="243"/>
      <c r="E28" s="284"/>
      <c r="H28" s="243"/>
      <c r="I28" s="284"/>
      <c r="K28" s="243"/>
      <c r="L28" s="284"/>
      <c r="AE28" s="243"/>
      <c r="AF28" s="284"/>
      <c r="AI28" s="284"/>
      <c r="AK28" s="243"/>
      <c r="AL28" s="284"/>
    </row>
    <row r="29" spans="4:38" s="228" customFormat="1" x14ac:dyDescent="0.25">
      <c r="D29" s="243"/>
      <c r="E29" s="284"/>
      <c r="H29" s="243"/>
      <c r="I29" s="284"/>
      <c r="K29" s="243"/>
      <c r="L29" s="284"/>
      <c r="AE29" s="243"/>
      <c r="AF29" s="284"/>
      <c r="AI29" s="284"/>
      <c r="AK29" s="243"/>
      <c r="AL29" s="284"/>
    </row>
    <row r="30" spans="4:38" s="228" customFormat="1" x14ac:dyDescent="0.25">
      <c r="D30" s="243"/>
      <c r="E30" s="284"/>
      <c r="H30" s="243"/>
      <c r="I30" s="284"/>
      <c r="K30" s="243"/>
      <c r="L30" s="284"/>
      <c r="AE30" s="243"/>
      <c r="AF30" s="284"/>
      <c r="AI30" s="284"/>
      <c r="AK30" s="243"/>
      <c r="AL30" s="284"/>
    </row>
    <row r="31" spans="4:38" s="228" customFormat="1" x14ac:dyDescent="0.25">
      <c r="D31" s="243"/>
      <c r="E31" s="284"/>
      <c r="H31" s="243"/>
      <c r="I31" s="284"/>
      <c r="K31" s="243"/>
      <c r="L31" s="284"/>
      <c r="AE31" s="243"/>
      <c r="AF31" s="284"/>
      <c r="AI31" s="284"/>
      <c r="AK31" s="243"/>
      <c r="AL31" s="284"/>
    </row>
    <row r="32" spans="4:38" s="228" customFormat="1" x14ac:dyDescent="0.25">
      <c r="D32" s="243"/>
      <c r="E32" s="284"/>
      <c r="H32" s="243"/>
      <c r="I32" s="284"/>
      <c r="K32" s="243"/>
      <c r="L32" s="284"/>
      <c r="AE32" s="243"/>
      <c r="AF32" s="284"/>
      <c r="AI32" s="284"/>
      <c r="AK32" s="243"/>
      <c r="AL32" s="284"/>
    </row>
    <row r="33" spans="4:38" s="228" customFormat="1" x14ac:dyDescent="0.25">
      <c r="D33" s="243"/>
      <c r="E33" s="284"/>
      <c r="H33" s="243"/>
      <c r="I33" s="284"/>
      <c r="K33" s="243"/>
      <c r="L33" s="284"/>
      <c r="AE33" s="243"/>
      <c r="AF33" s="284"/>
      <c r="AI33" s="284"/>
      <c r="AK33" s="243"/>
      <c r="AL33" s="284"/>
    </row>
    <row r="34" spans="4:38" s="228" customFormat="1" x14ac:dyDescent="0.25">
      <c r="D34" s="243"/>
      <c r="E34" s="284"/>
      <c r="H34" s="243"/>
      <c r="I34" s="284"/>
      <c r="K34" s="243"/>
      <c r="L34" s="284"/>
      <c r="AE34" s="243"/>
      <c r="AF34" s="284"/>
      <c r="AI34" s="284"/>
      <c r="AK34" s="243"/>
      <c r="AL34" s="284"/>
    </row>
    <row r="35" spans="4:38" s="228" customFormat="1" x14ac:dyDescent="0.25">
      <c r="D35" s="243"/>
      <c r="E35" s="284"/>
      <c r="H35" s="243"/>
      <c r="I35" s="284"/>
      <c r="K35" s="243"/>
      <c r="L35" s="284"/>
      <c r="AE35" s="243"/>
      <c r="AF35" s="284"/>
      <c r="AI35" s="284"/>
      <c r="AK35" s="243"/>
      <c r="AL35" s="284"/>
    </row>
    <row r="36" spans="4:38" s="228" customFormat="1" x14ac:dyDescent="0.25">
      <c r="D36" s="243"/>
      <c r="E36" s="284"/>
      <c r="H36" s="243"/>
      <c r="I36" s="284"/>
      <c r="K36" s="243"/>
      <c r="L36" s="284"/>
      <c r="AE36" s="243"/>
      <c r="AF36" s="284"/>
      <c r="AI36" s="284"/>
      <c r="AK36" s="243"/>
      <c r="AL36" s="284"/>
    </row>
    <row r="37" spans="4:38" s="228" customFormat="1" x14ac:dyDescent="0.25">
      <c r="D37" s="243"/>
      <c r="E37" s="284"/>
      <c r="H37" s="243"/>
      <c r="I37" s="284"/>
      <c r="K37" s="243"/>
      <c r="L37" s="284"/>
      <c r="AE37" s="243"/>
      <c r="AF37" s="284"/>
      <c r="AI37" s="284"/>
      <c r="AK37" s="243"/>
      <c r="AL37" s="284"/>
    </row>
    <row r="38" spans="4:38" s="228" customFormat="1" x14ac:dyDescent="0.25">
      <c r="D38" s="243"/>
      <c r="E38" s="284"/>
      <c r="H38" s="243"/>
      <c r="I38" s="284"/>
      <c r="K38" s="243"/>
      <c r="L38" s="284"/>
      <c r="AE38" s="243"/>
      <c r="AF38" s="284"/>
      <c r="AI38" s="284"/>
      <c r="AK38" s="243"/>
      <c r="AL38" s="284"/>
    </row>
    <row r="39" spans="4:38" s="228" customFormat="1" x14ac:dyDescent="0.25">
      <c r="D39" s="243"/>
      <c r="E39" s="284"/>
      <c r="H39" s="243"/>
      <c r="I39" s="284"/>
      <c r="K39" s="243"/>
      <c r="L39" s="284"/>
      <c r="AE39" s="243"/>
      <c r="AF39" s="284"/>
      <c r="AI39" s="284"/>
      <c r="AK39" s="243"/>
      <c r="AL39" s="284"/>
    </row>
    <row r="40" spans="4:38" s="228" customFormat="1" x14ac:dyDescent="0.25">
      <c r="D40" s="243"/>
      <c r="E40" s="284"/>
      <c r="H40" s="243"/>
      <c r="I40" s="284"/>
      <c r="K40" s="243"/>
      <c r="L40" s="284"/>
      <c r="AE40" s="243"/>
      <c r="AF40" s="284"/>
      <c r="AI40" s="284"/>
      <c r="AK40" s="243"/>
      <c r="AL40" s="284"/>
    </row>
    <row r="41" spans="4:38" s="228" customFormat="1" x14ac:dyDescent="0.25">
      <c r="D41" s="243"/>
      <c r="E41" s="284"/>
      <c r="H41" s="243"/>
      <c r="I41" s="284"/>
      <c r="K41" s="243"/>
      <c r="L41" s="284"/>
      <c r="AE41" s="243"/>
      <c r="AF41" s="284"/>
      <c r="AI41" s="284"/>
      <c r="AK41" s="243"/>
      <c r="AL41" s="284"/>
    </row>
    <row r="42" spans="4:38" s="228" customFormat="1" x14ac:dyDescent="0.25">
      <c r="D42" s="243"/>
      <c r="E42" s="284"/>
      <c r="H42" s="243"/>
      <c r="I42" s="284"/>
      <c r="K42" s="243"/>
      <c r="L42" s="284"/>
      <c r="AE42" s="243"/>
      <c r="AF42" s="284"/>
      <c r="AI42" s="284"/>
      <c r="AK42" s="243"/>
      <c r="AL42" s="284"/>
    </row>
    <row r="43" spans="4:38" s="228" customFormat="1" x14ac:dyDescent="0.25">
      <c r="D43" s="243"/>
      <c r="E43" s="284"/>
      <c r="H43" s="243"/>
      <c r="I43" s="284"/>
      <c r="K43" s="243"/>
      <c r="L43" s="284"/>
      <c r="AE43" s="243"/>
      <c r="AF43" s="284"/>
      <c r="AI43" s="284"/>
      <c r="AK43" s="243"/>
      <c r="AL43" s="284"/>
    </row>
    <row r="44" spans="4:38" s="228" customFormat="1" x14ac:dyDescent="0.25">
      <c r="D44" s="243"/>
      <c r="E44" s="284"/>
      <c r="H44" s="243"/>
      <c r="I44" s="284"/>
      <c r="K44" s="243"/>
      <c r="L44" s="284"/>
      <c r="AE44" s="243"/>
      <c r="AF44" s="284"/>
      <c r="AI44" s="284"/>
      <c r="AK44" s="243"/>
      <c r="AL44" s="284"/>
    </row>
    <row r="45" spans="4:38" s="228" customFormat="1" x14ac:dyDescent="0.25">
      <c r="D45" s="243"/>
      <c r="E45" s="284"/>
      <c r="H45" s="243"/>
      <c r="I45" s="284"/>
      <c r="K45" s="243"/>
      <c r="L45" s="284"/>
      <c r="AE45" s="243"/>
      <c r="AF45" s="284"/>
      <c r="AI45" s="284"/>
      <c r="AK45" s="243"/>
      <c r="AL45" s="284"/>
    </row>
    <row r="46" spans="4:38" s="228" customFormat="1" x14ac:dyDescent="0.25">
      <c r="D46" s="243"/>
      <c r="E46" s="284"/>
      <c r="H46" s="243"/>
      <c r="I46" s="284"/>
      <c r="K46" s="243"/>
      <c r="L46" s="284"/>
      <c r="AE46" s="243"/>
      <c r="AF46" s="284"/>
      <c r="AI46" s="284"/>
      <c r="AK46" s="243"/>
      <c r="AL46" s="284"/>
    </row>
    <row r="47" spans="4:38" s="228" customFormat="1" x14ac:dyDescent="0.25">
      <c r="D47" s="243"/>
      <c r="E47" s="284"/>
      <c r="H47" s="243"/>
      <c r="I47" s="284"/>
      <c r="K47" s="243"/>
      <c r="L47" s="284"/>
      <c r="AE47" s="243"/>
      <c r="AF47" s="284"/>
      <c r="AI47" s="284"/>
      <c r="AK47" s="243"/>
      <c r="AL47" s="284"/>
    </row>
    <row r="48" spans="4:38" s="228" customFormat="1" x14ac:dyDescent="0.25">
      <c r="D48" s="243"/>
      <c r="E48" s="284"/>
      <c r="H48" s="243"/>
      <c r="I48" s="284"/>
      <c r="K48" s="243"/>
      <c r="L48" s="284"/>
      <c r="AE48" s="243"/>
      <c r="AF48" s="284"/>
      <c r="AI48" s="284"/>
      <c r="AK48" s="243"/>
      <c r="AL48" s="284"/>
    </row>
    <row r="49" spans="4:38" s="228" customFormat="1" x14ac:dyDescent="0.25">
      <c r="D49" s="243"/>
      <c r="E49" s="284"/>
      <c r="H49" s="243"/>
      <c r="I49" s="284"/>
      <c r="K49" s="243"/>
      <c r="L49" s="284"/>
      <c r="AE49" s="243"/>
      <c r="AF49" s="284"/>
      <c r="AI49" s="284"/>
      <c r="AK49" s="243"/>
      <c r="AL49" s="284"/>
    </row>
    <row r="50" spans="4:38" s="228" customFormat="1" x14ac:dyDescent="0.25">
      <c r="D50" s="243"/>
      <c r="E50" s="284"/>
      <c r="H50" s="243"/>
      <c r="I50" s="284"/>
      <c r="K50" s="243"/>
      <c r="L50" s="284"/>
      <c r="AE50" s="243"/>
      <c r="AF50" s="284"/>
      <c r="AI50" s="284"/>
      <c r="AK50" s="243"/>
      <c r="AL50" s="284"/>
    </row>
    <row r="51" spans="4:38" s="228" customFormat="1" x14ac:dyDescent="0.25">
      <c r="D51" s="243"/>
      <c r="E51" s="284"/>
      <c r="H51" s="243"/>
      <c r="I51" s="284"/>
      <c r="K51" s="243"/>
      <c r="L51" s="284"/>
      <c r="AE51" s="243"/>
      <c r="AF51" s="284"/>
      <c r="AI51" s="284"/>
      <c r="AK51" s="243"/>
      <c r="AL51" s="284"/>
    </row>
    <row r="52" spans="4:38" s="228" customFormat="1" x14ac:dyDescent="0.25">
      <c r="D52" s="243"/>
      <c r="E52" s="284"/>
      <c r="H52" s="243"/>
      <c r="I52" s="284"/>
      <c r="K52" s="243"/>
      <c r="L52" s="284"/>
      <c r="AE52" s="243"/>
      <c r="AF52" s="284"/>
      <c r="AI52" s="284"/>
      <c r="AK52" s="243"/>
      <c r="AL52" s="284"/>
    </row>
    <row r="53" spans="4:38" s="228" customFormat="1" x14ac:dyDescent="0.25">
      <c r="D53" s="243"/>
      <c r="E53" s="284"/>
      <c r="H53" s="243"/>
      <c r="I53" s="284"/>
      <c r="K53" s="243"/>
      <c r="L53" s="284"/>
      <c r="AE53" s="243"/>
      <c r="AF53" s="284"/>
      <c r="AI53" s="284"/>
      <c r="AK53" s="243"/>
      <c r="AL53" s="284"/>
    </row>
    <row r="54" spans="4:38" s="228" customFormat="1" x14ac:dyDescent="0.25">
      <c r="D54" s="243"/>
      <c r="E54" s="284"/>
      <c r="H54" s="243"/>
      <c r="I54" s="284"/>
      <c r="K54" s="243"/>
      <c r="L54" s="284"/>
      <c r="AE54" s="243"/>
      <c r="AF54" s="284"/>
      <c r="AI54" s="284"/>
      <c r="AK54" s="243"/>
      <c r="AL54" s="284"/>
    </row>
    <row r="55" spans="4:38" s="228" customFormat="1" x14ac:dyDescent="0.25">
      <c r="D55" s="243"/>
      <c r="E55" s="284"/>
      <c r="H55" s="243"/>
      <c r="I55" s="284"/>
      <c r="K55" s="243"/>
      <c r="L55" s="284"/>
      <c r="AE55" s="243"/>
      <c r="AF55" s="284"/>
      <c r="AI55" s="284"/>
      <c r="AK55" s="243"/>
      <c r="AL55" s="284"/>
    </row>
    <row r="56" spans="4:38" s="228" customFormat="1" x14ac:dyDescent="0.25">
      <c r="D56" s="243"/>
      <c r="E56" s="284"/>
      <c r="H56" s="243"/>
      <c r="I56" s="284"/>
      <c r="K56" s="243"/>
      <c r="L56" s="284"/>
      <c r="AE56" s="243"/>
      <c r="AF56" s="284"/>
      <c r="AI56" s="284"/>
      <c r="AK56" s="243"/>
      <c r="AL56" s="284"/>
    </row>
    <row r="57" spans="4:38" s="228" customFormat="1" x14ac:dyDescent="0.25">
      <c r="D57" s="243"/>
      <c r="E57" s="284"/>
      <c r="H57" s="243"/>
      <c r="I57" s="284"/>
      <c r="K57" s="243"/>
      <c r="L57" s="284"/>
      <c r="AE57" s="243"/>
      <c r="AF57" s="284"/>
      <c r="AI57" s="284"/>
      <c r="AK57" s="243"/>
      <c r="AL57" s="284"/>
    </row>
    <row r="58" spans="4:38" s="228" customFormat="1" x14ac:dyDescent="0.25">
      <c r="D58" s="243"/>
      <c r="E58" s="284"/>
      <c r="H58" s="243"/>
      <c r="I58" s="284"/>
      <c r="K58" s="243"/>
      <c r="L58" s="284"/>
      <c r="AE58" s="243"/>
      <c r="AF58" s="284"/>
      <c r="AI58" s="284"/>
      <c r="AK58" s="243"/>
      <c r="AL58" s="284"/>
    </row>
    <row r="59" spans="4:38" s="228" customFormat="1" x14ac:dyDescent="0.25">
      <c r="D59" s="243"/>
      <c r="E59" s="284"/>
      <c r="H59" s="243"/>
      <c r="I59" s="284"/>
      <c r="K59" s="243"/>
      <c r="L59" s="284"/>
      <c r="AE59" s="243"/>
      <c r="AF59" s="284"/>
      <c r="AI59" s="284"/>
      <c r="AK59" s="243"/>
      <c r="AL59" s="284"/>
    </row>
    <row r="60" spans="4:38" s="228" customFormat="1" x14ac:dyDescent="0.25">
      <c r="D60" s="243"/>
      <c r="E60" s="284"/>
      <c r="H60" s="243"/>
      <c r="I60" s="284"/>
      <c r="K60" s="243"/>
      <c r="L60" s="284"/>
      <c r="AE60" s="243"/>
      <c r="AF60" s="284"/>
      <c r="AI60" s="284"/>
      <c r="AK60" s="243"/>
      <c r="AL60" s="284"/>
    </row>
    <row r="61" spans="4:38" s="228" customFormat="1" x14ac:dyDescent="0.25">
      <c r="D61" s="243"/>
      <c r="E61" s="284"/>
      <c r="H61" s="243"/>
      <c r="I61" s="284"/>
      <c r="K61" s="243"/>
      <c r="L61" s="284"/>
      <c r="AE61" s="243"/>
      <c r="AF61" s="284"/>
      <c r="AI61" s="284"/>
      <c r="AK61" s="243"/>
      <c r="AL61" s="284"/>
    </row>
    <row r="62" spans="4:38" s="228" customFormat="1" x14ac:dyDescent="0.25">
      <c r="D62" s="243"/>
      <c r="E62" s="284"/>
      <c r="H62" s="243"/>
      <c r="I62" s="284"/>
      <c r="K62" s="243"/>
      <c r="L62" s="284"/>
      <c r="AE62" s="243"/>
      <c r="AF62" s="284"/>
      <c r="AI62" s="284"/>
      <c r="AK62" s="243"/>
      <c r="AL62" s="284"/>
    </row>
    <row r="63" spans="4:38" s="228" customFormat="1" x14ac:dyDescent="0.25">
      <c r="D63" s="243"/>
      <c r="E63" s="284"/>
      <c r="H63" s="243"/>
      <c r="I63" s="284"/>
      <c r="K63" s="243"/>
      <c r="L63" s="284"/>
      <c r="AE63" s="243"/>
      <c r="AF63" s="284"/>
      <c r="AI63" s="284"/>
      <c r="AK63" s="243"/>
      <c r="AL63" s="284"/>
    </row>
    <row r="64" spans="4:38" s="228" customFormat="1" x14ac:dyDescent="0.25">
      <c r="D64" s="243"/>
      <c r="E64" s="284"/>
      <c r="H64" s="243"/>
      <c r="I64" s="284"/>
      <c r="K64" s="243"/>
      <c r="L64" s="284"/>
      <c r="AE64" s="243"/>
      <c r="AF64" s="284"/>
      <c r="AI64" s="284"/>
      <c r="AK64" s="243"/>
      <c r="AL64" s="284"/>
    </row>
    <row r="65" spans="4:38" s="228" customFormat="1" x14ac:dyDescent="0.25">
      <c r="D65" s="243"/>
      <c r="E65" s="284"/>
      <c r="H65" s="243"/>
      <c r="I65" s="284"/>
      <c r="K65" s="243"/>
      <c r="L65" s="284"/>
      <c r="AE65" s="243"/>
      <c r="AF65" s="284"/>
      <c r="AI65" s="284"/>
      <c r="AK65" s="243"/>
      <c r="AL65" s="284"/>
    </row>
    <row r="66" spans="4:38" s="228" customFormat="1" x14ac:dyDescent="0.25">
      <c r="D66" s="243"/>
      <c r="E66" s="284"/>
      <c r="H66" s="243"/>
      <c r="I66" s="284"/>
      <c r="K66" s="243"/>
      <c r="L66" s="284"/>
      <c r="AE66" s="243"/>
      <c r="AF66" s="284"/>
      <c r="AI66" s="284"/>
      <c r="AK66" s="243"/>
      <c r="AL66" s="284"/>
    </row>
    <row r="67" spans="4:38" s="228" customFormat="1" x14ac:dyDescent="0.25">
      <c r="D67" s="243"/>
      <c r="E67" s="284"/>
      <c r="H67" s="243"/>
      <c r="I67" s="284"/>
      <c r="K67" s="243"/>
      <c r="L67" s="284"/>
      <c r="AE67" s="243"/>
      <c r="AF67" s="284"/>
      <c r="AI67" s="284"/>
      <c r="AK67" s="243"/>
      <c r="AL67" s="284"/>
    </row>
    <row r="68" spans="4:38" s="228" customFormat="1" x14ac:dyDescent="0.25">
      <c r="D68" s="243"/>
      <c r="E68" s="284"/>
      <c r="H68" s="243"/>
      <c r="I68" s="284"/>
      <c r="K68" s="243"/>
      <c r="L68" s="284"/>
      <c r="AE68" s="243"/>
      <c r="AF68" s="284"/>
      <c r="AI68" s="284"/>
      <c r="AK68" s="243"/>
      <c r="AL68" s="284"/>
    </row>
    <row r="69" spans="4:38" s="228" customFormat="1" x14ac:dyDescent="0.25">
      <c r="D69" s="243"/>
      <c r="E69" s="284"/>
      <c r="H69" s="243"/>
      <c r="I69" s="284"/>
      <c r="K69" s="243"/>
      <c r="L69" s="284"/>
      <c r="AE69" s="243"/>
      <c r="AF69" s="284"/>
      <c r="AI69" s="284"/>
      <c r="AK69" s="243"/>
      <c r="AL69" s="284"/>
    </row>
    <row r="70" spans="4:38" s="228" customFormat="1" x14ac:dyDescent="0.25">
      <c r="D70" s="243"/>
      <c r="E70" s="284"/>
      <c r="H70" s="243"/>
      <c r="I70" s="284"/>
      <c r="K70" s="243"/>
      <c r="L70" s="284"/>
      <c r="AE70" s="243"/>
      <c r="AF70" s="284"/>
      <c r="AI70" s="284"/>
      <c r="AK70" s="243"/>
      <c r="AL70" s="284"/>
    </row>
    <row r="71" spans="4:38" s="228" customFormat="1" x14ac:dyDescent="0.25">
      <c r="D71" s="243"/>
      <c r="E71" s="284"/>
      <c r="H71" s="243"/>
      <c r="I71" s="284"/>
      <c r="K71" s="243"/>
      <c r="L71" s="284"/>
      <c r="AE71" s="243"/>
      <c r="AF71" s="284"/>
      <c r="AI71" s="284"/>
      <c r="AK71" s="243"/>
      <c r="AL71" s="284"/>
    </row>
    <row r="72" spans="4:38" s="228" customFormat="1" x14ac:dyDescent="0.25">
      <c r="D72" s="243"/>
      <c r="E72" s="284"/>
      <c r="H72" s="243"/>
      <c r="I72" s="284"/>
      <c r="K72" s="243"/>
      <c r="L72" s="284"/>
      <c r="AE72" s="243"/>
      <c r="AF72" s="284"/>
      <c r="AI72" s="284"/>
      <c r="AK72" s="243"/>
      <c r="AL72" s="284"/>
    </row>
    <row r="73" spans="4:38" s="228" customFormat="1" x14ac:dyDescent="0.25">
      <c r="D73" s="243"/>
      <c r="E73" s="284"/>
      <c r="H73" s="243"/>
      <c r="I73" s="284"/>
      <c r="K73" s="243"/>
      <c r="L73" s="284"/>
      <c r="AE73" s="243"/>
      <c r="AF73" s="284"/>
      <c r="AI73" s="284"/>
      <c r="AK73" s="243"/>
      <c r="AL73" s="284"/>
    </row>
    <row r="74" spans="4:38" s="228" customFormat="1" x14ac:dyDescent="0.25">
      <c r="D74" s="243"/>
      <c r="E74" s="284"/>
      <c r="H74" s="243"/>
      <c r="I74" s="284"/>
      <c r="K74" s="243"/>
      <c r="L74" s="284"/>
      <c r="AE74" s="243"/>
      <c r="AF74" s="284"/>
      <c r="AI74" s="284"/>
      <c r="AK74" s="243"/>
      <c r="AL74" s="284"/>
    </row>
    <row r="75" spans="4:38" s="228" customFormat="1" x14ac:dyDescent="0.25">
      <c r="D75" s="243"/>
      <c r="E75" s="284"/>
      <c r="H75" s="243"/>
      <c r="I75" s="284"/>
      <c r="K75" s="243"/>
      <c r="L75" s="284"/>
      <c r="AE75" s="243"/>
      <c r="AF75" s="284"/>
      <c r="AI75" s="284"/>
      <c r="AK75" s="243"/>
      <c r="AL75" s="284"/>
    </row>
    <row r="76" spans="4:38" s="228" customFormat="1" x14ac:dyDescent="0.25">
      <c r="D76" s="243"/>
      <c r="E76" s="284"/>
      <c r="H76" s="243"/>
      <c r="I76" s="284"/>
      <c r="K76" s="243"/>
      <c r="L76" s="284"/>
      <c r="AE76" s="243"/>
      <c r="AF76" s="284"/>
      <c r="AI76" s="284"/>
      <c r="AK76" s="243"/>
      <c r="AL76" s="284"/>
    </row>
    <row r="77" spans="4:38" s="228" customFormat="1" x14ac:dyDescent="0.25">
      <c r="D77" s="243"/>
      <c r="E77" s="284"/>
      <c r="H77" s="243"/>
      <c r="I77" s="284"/>
      <c r="K77" s="243"/>
      <c r="L77" s="284"/>
      <c r="AE77" s="243"/>
      <c r="AF77" s="284"/>
      <c r="AI77" s="284"/>
      <c r="AK77" s="243"/>
      <c r="AL77" s="284"/>
    </row>
    <row r="78" spans="4:38" s="228" customFormat="1" x14ac:dyDescent="0.25">
      <c r="D78" s="243"/>
      <c r="E78" s="284"/>
      <c r="H78" s="243"/>
      <c r="I78" s="284"/>
      <c r="K78" s="243"/>
      <c r="L78" s="284"/>
      <c r="AE78" s="243"/>
      <c r="AF78" s="284"/>
      <c r="AI78" s="284"/>
      <c r="AK78" s="243"/>
      <c r="AL78" s="284"/>
    </row>
    <row r="79" spans="4:38" s="228" customFormat="1" x14ac:dyDescent="0.25">
      <c r="D79" s="243"/>
      <c r="E79" s="284"/>
      <c r="H79" s="243"/>
      <c r="I79" s="284"/>
      <c r="K79" s="243"/>
      <c r="L79" s="284"/>
      <c r="AE79" s="243"/>
      <c r="AF79" s="284"/>
      <c r="AI79" s="284"/>
      <c r="AK79" s="243"/>
      <c r="AL79" s="284"/>
    </row>
    <row r="80" spans="4:38" s="228" customFormat="1" x14ac:dyDescent="0.25">
      <c r="D80" s="243"/>
      <c r="E80" s="284"/>
      <c r="H80" s="243"/>
      <c r="I80" s="284"/>
      <c r="K80" s="243"/>
      <c r="L80" s="284"/>
      <c r="AE80" s="243"/>
      <c r="AF80" s="284"/>
      <c r="AI80" s="284"/>
      <c r="AK80" s="243"/>
      <c r="AL80" s="284"/>
    </row>
    <row r="81" spans="4:38" s="228" customFormat="1" x14ac:dyDescent="0.25">
      <c r="D81" s="243"/>
      <c r="E81" s="284"/>
      <c r="H81" s="243"/>
      <c r="I81" s="284"/>
      <c r="K81" s="243"/>
      <c r="L81" s="284"/>
      <c r="AE81" s="243"/>
      <c r="AF81" s="284"/>
      <c r="AI81" s="284"/>
      <c r="AK81" s="243"/>
      <c r="AL81" s="284"/>
    </row>
    <row r="82" spans="4:38" s="228" customFormat="1" x14ac:dyDescent="0.25">
      <c r="D82" s="243"/>
      <c r="E82" s="284"/>
      <c r="H82" s="243"/>
      <c r="I82" s="284"/>
      <c r="K82" s="243"/>
      <c r="L82" s="284"/>
      <c r="AE82" s="243"/>
      <c r="AF82" s="284"/>
      <c r="AI82" s="284"/>
      <c r="AK82" s="243"/>
      <c r="AL82" s="284"/>
    </row>
    <row r="83" spans="4:38" s="228" customFormat="1" x14ac:dyDescent="0.25">
      <c r="D83" s="243"/>
      <c r="E83" s="284"/>
      <c r="H83" s="243"/>
      <c r="I83" s="284"/>
      <c r="K83" s="243"/>
      <c r="L83" s="284"/>
      <c r="AE83" s="243"/>
      <c r="AF83" s="284"/>
      <c r="AI83" s="284"/>
      <c r="AK83" s="243"/>
      <c r="AL83" s="284"/>
    </row>
    <row r="84" spans="4:38" s="228" customFormat="1" x14ac:dyDescent="0.25">
      <c r="D84" s="243"/>
      <c r="E84" s="284"/>
      <c r="H84" s="243"/>
      <c r="I84" s="284"/>
      <c r="K84" s="243"/>
      <c r="L84" s="284"/>
      <c r="AE84" s="243"/>
      <c r="AF84" s="284"/>
      <c r="AI84" s="284"/>
      <c r="AK84" s="243"/>
      <c r="AL84" s="284"/>
    </row>
    <row r="85" spans="4:38" s="228" customFormat="1" x14ac:dyDescent="0.25">
      <c r="D85" s="243"/>
      <c r="E85" s="284"/>
      <c r="H85" s="243"/>
      <c r="I85" s="284"/>
      <c r="K85" s="243"/>
      <c r="L85" s="284"/>
      <c r="AE85" s="243"/>
      <c r="AF85" s="284"/>
      <c r="AI85" s="284"/>
      <c r="AK85" s="243"/>
      <c r="AL85" s="284"/>
    </row>
    <row r="86" spans="4:38" s="228" customFormat="1" x14ac:dyDescent="0.25">
      <c r="D86" s="243"/>
      <c r="E86" s="284"/>
      <c r="H86" s="243"/>
      <c r="I86" s="284"/>
      <c r="K86" s="243"/>
      <c r="L86" s="284"/>
      <c r="AE86" s="243"/>
      <c r="AF86" s="284"/>
      <c r="AI86" s="284"/>
      <c r="AK86" s="243"/>
      <c r="AL86" s="284"/>
    </row>
    <row r="87" spans="4:38" s="228" customFormat="1" x14ac:dyDescent="0.25">
      <c r="D87" s="243"/>
      <c r="E87" s="284"/>
      <c r="H87" s="243"/>
      <c r="I87" s="284"/>
      <c r="K87" s="243"/>
      <c r="L87" s="284"/>
      <c r="AE87" s="243"/>
      <c r="AF87" s="284"/>
      <c r="AI87" s="284"/>
      <c r="AK87" s="243"/>
      <c r="AL87" s="284"/>
    </row>
    <row r="88" spans="4:38" s="228" customFormat="1" x14ac:dyDescent="0.25">
      <c r="D88" s="243"/>
      <c r="E88" s="284"/>
      <c r="H88" s="243"/>
      <c r="I88" s="284"/>
      <c r="K88" s="243"/>
      <c r="L88" s="284"/>
      <c r="AE88" s="243"/>
      <c r="AF88" s="284"/>
      <c r="AI88" s="284"/>
      <c r="AK88" s="243"/>
      <c r="AL88" s="284"/>
    </row>
    <row r="89" spans="4:38" s="228" customFormat="1" x14ac:dyDescent="0.25">
      <c r="D89" s="243"/>
      <c r="E89" s="284"/>
      <c r="H89" s="243"/>
      <c r="I89" s="284"/>
      <c r="K89" s="243"/>
      <c r="L89" s="284"/>
      <c r="AE89" s="243"/>
      <c r="AF89" s="284"/>
      <c r="AI89" s="284"/>
      <c r="AK89" s="243"/>
      <c r="AL89" s="284"/>
    </row>
    <row r="90" spans="4:38" s="228" customFormat="1" x14ac:dyDescent="0.25">
      <c r="D90" s="243"/>
      <c r="E90" s="284"/>
      <c r="H90" s="243"/>
      <c r="I90" s="284"/>
      <c r="K90" s="243"/>
      <c r="L90" s="284"/>
      <c r="AE90" s="243"/>
      <c r="AF90" s="284"/>
      <c r="AI90" s="284"/>
      <c r="AK90" s="243"/>
      <c r="AL90" s="284"/>
    </row>
    <row r="91" spans="4:38" s="228" customFormat="1" x14ac:dyDescent="0.25">
      <c r="D91" s="243"/>
      <c r="E91" s="284"/>
      <c r="H91" s="243"/>
      <c r="I91" s="284"/>
      <c r="K91" s="243"/>
      <c r="L91" s="284"/>
      <c r="AE91" s="243"/>
      <c r="AF91" s="284"/>
      <c r="AI91" s="284"/>
      <c r="AK91" s="243"/>
      <c r="AL91" s="284"/>
    </row>
    <row r="92" spans="4:38" s="228" customFormat="1" x14ac:dyDescent="0.25">
      <c r="D92" s="243"/>
      <c r="E92" s="284"/>
      <c r="H92" s="243"/>
      <c r="I92" s="284"/>
      <c r="K92" s="243"/>
      <c r="L92" s="284"/>
      <c r="AE92" s="243"/>
      <c r="AF92" s="284"/>
      <c r="AI92" s="284"/>
      <c r="AK92" s="243"/>
      <c r="AL92" s="284"/>
    </row>
    <row r="93" spans="4:38" s="228" customFormat="1" x14ac:dyDescent="0.25">
      <c r="D93" s="243"/>
      <c r="E93" s="284"/>
      <c r="H93" s="243"/>
      <c r="I93" s="284"/>
      <c r="K93" s="243"/>
      <c r="L93" s="284"/>
      <c r="AE93" s="243"/>
      <c r="AF93" s="284"/>
      <c r="AI93" s="284"/>
      <c r="AK93" s="243"/>
      <c r="AL93" s="284"/>
    </row>
    <row r="94" spans="4:38" s="228" customFormat="1" x14ac:dyDescent="0.25">
      <c r="D94" s="243"/>
      <c r="E94" s="284"/>
      <c r="H94" s="243"/>
      <c r="I94" s="284"/>
      <c r="K94" s="243"/>
      <c r="L94" s="284"/>
      <c r="AE94" s="243"/>
      <c r="AF94" s="284"/>
      <c r="AI94" s="284"/>
      <c r="AK94" s="243"/>
      <c r="AL94" s="284"/>
    </row>
    <row r="95" spans="4:38" s="228" customFormat="1" x14ac:dyDescent="0.25">
      <c r="D95" s="243"/>
      <c r="E95" s="284"/>
      <c r="H95" s="243"/>
      <c r="I95" s="284"/>
      <c r="K95" s="243"/>
      <c r="L95" s="284"/>
      <c r="AE95" s="243"/>
      <c r="AF95" s="284"/>
      <c r="AI95" s="284"/>
      <c r="AK95" s="243"/>
      <c r="AL95" s="284"/>
    </row>
    <row r="96" spans="4:38" s="228" customFormat="1" x14ac:dyDescent="0.25">
      <c r="D96" s="243"/>
      <c r="E96" s="284"/>
      <c r="H96" s="243"/>
      <c r="I96" s="284"/>
      <c r="K96" s="243"/>
      <c r="L96" s="284"/>
      <c r="AE96" s="243"/>
      <c r="AF96" s="284"/>
      <c r="AI96" s="284"/>
      <c r="AK96" s="243"/>
      <c r="AL96" s="284"/>
    </row>
    <row r="97" spans="4:38" s="228" customFormat="1" x14ac:dyDescent="0.25">
      <c r="D97" s="243"/>
      <c r="E97" s="284"/>
      <c r="H97" s="243"/>
      <c r="I97" s="284"/>
      <c r="K97" s="243"/>
      <c r="L97" s="284"/>
      <c r="AE97" s="243"/>
      <c r="AF97" s="284"/>
      <c r="AI97" s="284"/>
      <c r="AK97" s="243"/>
      <c r="AL97" s="284"/>
    </row>
    <row r="98" spans="4:38" s="228" customFormat="1" x14ac:dyDescent="0.25">
      <c r="D98" s="243"/>
      <c r="E98" s="284"/>
      <c r="H98" s="243"/>
      <c r="I98" s="284"/>
      <c r="K98" s="243"/>
      <c r="L98" s="284"/>
      <c r="AE98" s="243"/>
      <c r="AF98" s="284"/>
      <c r="AI98" s="284"/>
      <c r="AK98" s="243"/>
      <c r="AL98" s="284"/>
    </row>
    <row r="99" spans="4:38" s="228" customFormat="1" x14ac:dyDescent="0.25">
      <c r="D99" s="243"/>
      <c r="E99" s="284"/>
      <c r="H99" s="243"/>
      <c r="I99" s="284"/>
      <c r="K99" s="243"/>
      <c r="L99" s="284"/>
      <c r="AE99" s="243"/>
      <c r="AF99" s="284"/>
      <c r="AI99" s="284"/>
      <c r="AK99" s="243"/>
      <c r="AL99" s="284"/>
    </row>
    <row r="100" spans="4:38" s="228" customFormat="1" x14ac:dyDescent="0.25">
      <c r="D100" s="243"/>
      <c r="E100" s="284"/>
      <c r="H100" s="243"/>
      <c r="I100" s="284"/>
      <c r="K100" s="243"/>
      <c r="L100" s="284"/>
      <c r="AE100" s="243"/>
      <c r="AF100" s="284"/>
      <c r="AI100" s="284"/>
      <c r="AK100" s="243"/>
      <c r="AL100" s="284"/>
    </row>
    <row r="101" spans="4:38" s="228" customFormat="1" x14ac:dyDescent="0.25">
      <c r="D101" s="243"/>
      <c r="E101" s="284"/>
      <c r="H101" s="243"/>
      <c r="I101" s="284"/>
      <c r="K101" s="243"/>
      <c r="L101" s="284"/>
      <c r="AE101" s="243"/>
      <c r="AF101" s="284"/>
      <c r="AI101" s="284"/>
      <c r="AK101" s="243"/>
      <c r="AL101" s="284"/>
    </row>
    <row r="102" spans="4:38" s="228" customFormat="1" x14ac:dyDescent="0.25">
      <c r="D102" s="243"/>
      <c r="E102" s="284"/>
      <c r="H102" s="243"/>
      <c r="I102" s="284"/>
      <c r="K102" s="243"/>
      <c r="L102" s="284"/>
      <c r="AE102" s="243"/>
      <c r="AF102" s="284"/>
      <c r="AI102" s="284"/>
      <c r="AK102" s="243"/>
      <c r="AL102" s="284"/>
    </row>
    <row r="103" spans="4:38" s="228" customFormat="1" x14ac:dyDescent="0.25">
      <c r="D103" s="243"/>
      <c r="E103" s="284"/>
      <c r="H103" s="243"/>
      <c r="I103" s="284"/>
      <c r="K103" s="243"/>
      <c r="L103" s="284"/>
      <c r="AE103" s="243"/>
      <c r="AF103" s="284"/>
      <c r="AI103" s="284"/>
      <c r="AK103" s="243"/>
      <c r="AL103" s="284"/>
    </row>
    <row r="104" spans="4:38" s="228" customFormat="1" x14ac:dyDescent="0.25">
      <c r="D104" s="243"/>
      <c r="E104" s="284"/>
      <c r="H104" s="243"/>
      <c r="I104" s="284"/>
      <c r="K104" s="243"/>
      <c r="L104" s="284"/>
      <c r="AE104" s="243"/>
      <c r="AF104" s="284"/>
      <c r="AI104" s="284"/>
      <c r="AK104" s="243"/>
      <c r="AL104" s="284"/>
    </row>
    <row r="105" spans="4:38" s="228" customFormat="1" x14ac:dyDescent="0.25">
      <c r="D105" s="243"/>
      <c r="E105" s="284"/>
      <c r="H105" s="243"/>
      <c r="I105" s="284"/>
      <c r="K105" s="243"/>
      <c r="L105" s="284"/>
      <c r="AE105" s="243"/>
      <c r="AF105" s="284"/>
      <c r="AI105" s="284"/>
      <c r="AK105" s="243"/>
      <c r="AL105" s="284"/>
    </row>
    <row r="106" spans="4:38" s="228" customFormat="1" x14ac:dyDescent="0.25">
      <c r="D106" s="243"/>
      <c r="E106" s="284"/>
      <c r="H106" s="243"/>
      <c r="I106" s="284"/>
      <c r="K106" s="243"/>
      <c r="L106" s="284"/>
      <c r="AE106" s="243"/>
      <c r="AF106" s="284"/>
      <c r="AI106" s="284"/>
      <c r="AK106" s="243"/>
      <c r="AL106" s="284"/>
    </row>
    <row r="107" spans="4:38" s="228" customFormat="1" x14ac:dyDescent="0.25">
      <c r="D107" s="243"/>
      <c r="E107" s="284"/>
      <c r="H107" s="243"/>
      <c r="I107" s="284"/>
      <c r="K107" s="243"/>
      <c r="L107" s="284"/>
      <c r="AE107" s="243"/>
      <c r="AF107" s="284"/>
      <c r="AI107" s="284"/>
      <c r="AK107" s="243"/>
      <c r="AL107" s="284"/>
    </row>
    <row r="108" spans="4:38" s="228" customFormat="1" x14ac:dyDescent="0.25">
      <c r="D108" s="243"/>
      <c r="E108" s="284"/>
      <c r="H108" s="243"/>
      <c r="I108" s="284"/>
      <c r="K108" s="243"/>
      <c r="L108" s="284"/>
      <c r="AE108" s="243"/>
      <c r="AF108" s="284"/>
      <c r="AI108" s="284"/>
      <c r="AK108" s="243"/>
      <c r="AL108" s="284"/>
    </row>
    <row r="109" spans="4:38" s="228" customFormat="1" x14ac:dyDescent="0.25">
      <c r="D109" s="243"/>
      <c r="E109" s="284"/>
      <c r="H109" s="243"/>
      <c r="I109" s="284"/>
      <c r="K109" s="243"/>
      <c r="L109" s="284"/>
      <c r="AE109" s="243"/>
      <c r="AF109" s="284"/>
      <c r="AI109" s="284"/>
      <c r="AK109" s="243"/>
      <c r="AL109" s="284"/>
    </row>
    <row r="110" spans="4:38" s="228" customFormat="1" x14ac:dyDescent="0.25">
      <c r="D110" s="243"/>
      <c r="E110" s="284"/>
      <c r="H110" s="243"/>
      <c r="I110" s="284"/>
      <c r="K110" s="243"/>
      <c r="L110" s="284"/>
      <c r="AE110" s="243"/>
      <c r="AF110" s="284"/>
      <c r="AI110" s="284"/>
      <c r="AK110" s="243"/>
      <c r="AL110" s="284"/>
    </row>
    <row r="111" spans="4:38" s="228" customFormat="1" x14ac:dyDescent="0.25">
      <c r="D111" s="243"/>
      <c r="E111" s="284"/>
      <c r="H111" s="243"/>
      <c r="I111" s="284"/>
      <c r="K111" s="243"/>
      <c r="L111" s="284"/>
      <c r="AE111" s="243"/>
      <c r="AF111" s="284"/>
      <c r="AI111" s="284"/>
      <c r="AK111" s="243"/>
      <c r="AL111" s="284"/>
    </row>
    <row r="112" spans="4:38" s="228" customFormat="1" x14ac:dyDescent="0.25">
      <c r="D112" s="243"/>
      <c r="E112" s="284"/>
      <c r="H112" s="243"/>
      <c r="I112" s="284"/>
      <c r="K112" s="243"/>
      <c r="L112" s="284"/>
      <c r="AE112" s="243"/>
      <c r="AF112" s="284"/>
      <c r="AI112" s="284"/>
      <c r="AK112" s="243"/>
      <c r="AL112" s="284"/>
    </row>
    <row r="113" spans="4:38" s="228" customFormat="1" x14ac:dyDescent="0.25">
      <c r="D113" s="243"/>
      <c r="E113" s="284"/>
      <c r="H113" s="243"/>
      <c r="I113" s="284"/>
      <c r="K113" s="243"/>
      <c r="L113" s="284"/>
      <c r="AE113" s="243"/>
      <c r="AF113" s="284"/>
      <c r="AI113" s="284"/>
      <c r="AK113" s="243"/>
      <c r="AL113" s="284"/>
    </row>
    <row r="114" spans="4:38" s="228" customFormat="1" x14ac:dyDescent="0.25">
      <c r="D114" s="243"/>
      <c r="E114" s="284"/>
      <c r="H114" s="243"/>
      <c r="I114" s="284"/>
      <c r="K114" s="243"/>
      <c r="L114" s="284"/>
      <c r="AE114" s="243"/>
      <c r="AF114" s="284"/>
      <c r="AI114" s="284"/>
      <c r="AK114" s="243"/>
      <c r="AL114" s="284"/>
    </row>
    <row r="115" spans="4:38" s="228" customFormat="1" x14ac:dyDescent="0.25">
      <c r="D115" s="243"/>
      <c r="E115" s="284"/>
      <c r="H115" s="243"/>
      <c r="I115" s="284"/>
      <c r="K115" s="243"/>
      <c r="L115" s="284"/>
      <c r="AE115" s="243"/>
      <c r="AF115" s="284"/>
      <c r="AI115" s="284"/>
      <c r="AK115" s="243"/>
      <c r="AL115" s="284"/>
    </row>
    <row r="116" spans="4:38" s="228" customFormat="1" x14ac:dyDescent="0.25">
      <c r="D116" s="243"/>
      <c r="E116" s="284"/>
      <c r="H116" s="243"/>
      <c r="I116" s="284"/>
      <c r="K116" s="243"/>
      <c r="L116" s="284"/>
      <c r="AE116" s="243"/>
      <c r="AF116" s="284"/>
      <c r="AI116" s="284"/>
      <c r="AK116" s="243"/>
      <c r="AL116" s="284"/>
    </row>
    <row r="117" spans="4:38" s="228" customFormat="1" x14ac:dyDescent="0.25">
      <c r="D117" s="243"/>
      <c r="E117" s="284"/>
      <c r="H117" s="243"/>
      <c r="I117" s="284"/>
      <c r="K117" s="243"/>
      <c r="L117" s="284"/>
      <c r="AE117" s="243"/>
      <c r="AF117" s="284"/>
      <c r="AI117" s="284"/>
      <c r="AK117" s="243"/>
      <c r="AL117" s="284"/>
    </row>
    <row r="118" spans="4:38" s="228" customFormat="1" x14ac:dyDescent="0.25">
      <c r="D118" s="243"/>
      <c r="E118" s="284"/>
      <c r="H118" s="243"/>
      <c r="I118" s="284"/>
      <c r="K118" s="243"/>
      <c r="L118" s="284"/>
      <c r="AE118" s="243"/>
      <c r="AF118" s="284"/>
      <c r="AI118" s="284"/>
      <c r="AK118" s="243"/>
      <c r="AL118" s="284"/>
    </row>
    <row r="119" spans="4:38" s="228" customFormat="1" x14ac:dyDescent="0.25">
      <c r="D119" s="243"/>
      <c r="E119" s="284"/>
      <c r="H119" s="243"/>
      <c r="I119" s="284"/>
      <c r="K119" s="243"/>
      <c r="L119" s="284"/>
      <c r="AE119" s="243"/>
      <c r="AF119" s="284"/>
      <c r="AI119" s="284"/>
      <c r="AK119" s="243"/>
      <c r="AL119" s="284"/>
    </row>
    <row r="120" spans="4:38" s="228" customFormat="1" x14ac:dyDescent="0.25">
      <c r="D120" s="243"/>
      <c r="E120" s="284"/>
      <c r="H120" s="243"/>
      <c r="I120" s="284"/>
      <c r="K120" s="243"/>
      <c r="L120" s="284"/>
      <c r="AE120" s="243"/>
      <c r="AF120" s="284"/>
      <c r="AI120" s="284"/>
      <c r="AK120" s="243"/>
      <c r="AL120" s="284"/>
    </row>
    <row r="121" spans="4:38" s="228" customFormat="1" x14ac:dyDescent="0.25">
      <c r="D121" s="243"/>
      <c r="E121" s="284"/>
      <c r="H121" s="243"/>
      <c r="I121" s="284"/>
      <c r="K121" s="243"/>
      <c r="L121" s="284"/>
      <c r="AE121" s="243"/>
      <c r="AF121" s="284"/>
      <c r="AI121" s="284"/>
      <c r="AK121" s="243"/>
      <c r="AL121" s="284"/>
    </row>
    <row r="122" spans="4:38" s="228" customFormat="1" x14ac:dyDescent="0.25">
      <c r="D122" s="243"/>
      <c r="E122" s="284"/>
      <c r="H122" s="243"/>
      <c r="I122" s="284"/>
      <c r="K122" s="243"/>
      <c r="L122" s="284"/>
      <c r="AE122" s="243"/>
      <c r="AF122" s="284"/>
      <c r="AI122" s="284"/>
      <c r="AK122" s="243"/>
      <c r="AL122" s="284"/>
    </row>
    <row r="123" spans="4:38" s="228" customFormat="1" x14ac:dyDescent="0.25">
      <c r="D123" s="243"/>
      <c r="E123" s="284"/>
      <c r="H123" s="243"/>
      <c r="I123" s="284"/>
      <c r="K123" s="243"/>
      <c r="L123" s="284"/>
      <c r="AE123" s="243"/>
      <c r="AF123" s="284"/>
      <c r="AI123" s="284"/>
      <c r="AK123" s="243"/>
      <c r="AL123" s="284"/>
    </row>
    <row r="124" spans="4:38" s="228" customFormat="1" x14ac:dyDescent="0.25">
      <c r="D124" s="243"/>
      <c r="E124" s="284"/>
      <c r="H124" s="243"/>
      <c r="I124" s="284"/>
      <c r="K124" s="243"/>
      <c r="L124" s="284"/>
      <c r="AE124" s="243"/>
      <c r="AF124" s="284"/>
      <c r="AI124" s="284"/>
      <c r="AK124" s="243"/>
      <c r="AL124" s="284"/>
    </row>
    <row r="125" spans="4:38" s="228" customFormat="1" x14ac:dyDescent="0.25">
      <c r="D125" s="243"/>
      <c r="E125" s="284"/>
      <c r="H125" s="243"/>
      <c r="I125" s="284"/>
      <c r="K125" s="243"/>
      <c r="L125" s="284"/>
      <c r="AE125" s="243"/>
      <c r="AF125" s="284"/>
      <c r="AI125" s="284"/>
      <c r="AK125" s="243"/>
      <c r="AL125" s="284"/>
    </row>
    <row r="126" spans="4:38" s="228" customFormat="1" x14ac:dyDescent="0.25">
      <c r="D126" s="243"/>
      <c r="E126" s="284"/>
      <c r="H126" s="243"/>
      <c r="I126" s="284"/>
      <c r="K126" s="243"/>
      <c r="L126" s="284"/>
      <c r="AE126" s="243"/>
      <c r="AF126" s="284"/>
      <c r="AI126" s="284"/>
      <c r="AK126" s="243"/>
      <c r="AL126" s="284"/>
    </row>
    <row r="127" spans="4:38" s="228" customFormat="1" x14ac:dyDescent="0.25">
      <c r="D127" s="243"/>
      <c r="E127" s="284"/>
      <c r="H127" s="243"/>
      <c r="I127" s="284"/>
      <c r="K127" s="243"/>
      <c r="L127" s="284"/>
      <c r="AE127" s="243"/>
      <c r="AF127" s="284"/>
      <c r="AI127" s="284"/>
      <c r="AK127" s="243"/>
      <c r="AL127" s="284"/>
    </row>
    <row r="128" spans="4:38" s="228" customFormat="1" x14ac:dyDescent="0.25">
      <c r="D128" s="243"/>
      <c r="E128" s="284"/>
      <c r="H128" s="243"/>
      <c r="I128" s="284"/>
      <c r="K128" s="243"/>
      <c r="L128" s="284"/>
      <c r="AE128" s="243"/>
      <c r="AF128" s="284"/>
      <c r="AI128" s="284"/>
      <c r="AK128" s="243"/>
      <c r="AL128" s="284"/>
    </row>
    <row r="129" spans="4:38" s="228" customFormat="1" x14ac:dyDescent="0.25">
      <c r="D129" s="243"/>
      <c r="E129" s="284"/>
      <c r="H129" s="243"/>
      <c r="I129" s="284"/>
      <c r="K129" s="243"/>
      <c r="L129" s="284"/>
      <c r="AE129" s="243"/>
      <c r="AF129" s="284"/>
      <c r="AI129" s="284"/>
      <c r="AK129" s="243"/>
      <c r="AL129" s="284"/>
    </row>
    <row r="130" spans="4:38" s="228" customFormat="1" x14ac:dyDescent="0.25">
      <c r="D130" s="243"/>
      <c r="E130" s="284"/>
      <c r="H130" s="243"/>
      <c r="I130" s="284"/>
      <c r="K130" s="243"/>
      <c r="L130" s="284"/>
      <c r="AE130" s="243"/>
      <c r="AF130" s="284"/>
      <c r="AI130" s="284"/>
      <c r="AK130" s="243"/>
      <c r="AL130" s="284"/>
    </row>
    <row r="131" spans="4:38" s="228" customFormat="1" x14ac:dyDescent="0.25">
      <c r="D131" s="243"/>
      <c r="E131" s="284"/>
      <c r="H131" s="243"/>
      <c r="I131" s="284"/>
      <c r="K131" s="243"/>
      <c r="L131" s="284"/>
      <c r="AE131" s="243"/>
      <c r="AF131" s="284"/>
      <c r="AI131" s="284"/>
      <c r="AK131" s="243"/>
      <c r="AL131" s="284"/>
    </row>
    <row r="132" spans="4:38" s="228" customFormat="1" x14ac:dyDescent="0.25">
      <c r="D132" s="243"/>
      <c r="E132" s="284"/>
      <c r="H132" s="243"/>
      <c r="I132" s="284"/>
      <c r="K132" s="243"/>
      <c r="L132" s="284"/>
      <c r="AE132" s="243"/>
      <c r="AF132" s="284"/>
      <c r="AI132" s="284"/>
      <c r="AK132" s="243"/>
      <c r="AL132" s="284"/>
    </row>
    <row r="133" spans="4:38" s="228" customFormat="1" x14ac:dyDescent="0.25">
      <c r="D133" s="243"/>
      <c r="E133" s="284"/>
      <c r="H133" s="243"/>
      <c r="I133" s="284"/>
      <c r="K133" s="243"/>
      <c r="L133" s="284"/>
      <c r="AE133" s="243"/>
      <c r="AF133" s="284"/>
      <c r="AI133" s="284"/>
      <c r="AK133" s="243"/>
      <c r="AL133" s="284"/>
    </row>
    <row r="134" spans="4:38" s="228" customFormat="1" x14ac:dyDescent="0.25">
      <c r="D134" s="243"/>
      <c r="E134" s="284"/>
      <c r="H134" s="243"/>
      <c r="I134" s="284"/>
      <c r="K134" s="243"/>
      <c r="L134" s="284"/>
      <c r="AE134" s="243"/>
      <c r="AF134" s="284"/>
      <c r="AI134" s="284"/>
      <c r="AK134" s="243"/>
      <c r="AL134" s="284"/>
    </row>
    <row r="135" spans="4:38" s="228" customFormat="1" x14ac:dyDescent="0.25">
      <c r="D135" s="243"/>
      <c r="E135" s="284"/>
      <c r="H135" s="243"/>
      <c r="I135" s="284"/>
      <c r="K135" s="243"/>
      <c r="L135" s="284"/>
      <c r="AE135" s="243"/>
      <c r="AF135" s="284"/>
      <c r="AI135" s="284"/>
      <c r="AK135" s="243"/>
      <c r="AL135" s="284"/>
    </row>
    <row r="136" spans="4:38" s="228" customFormat="1" x14ac:dyDescent="0.25">
      <c r="D136" s="243"/>
      <c r="E136" s="284"/>
      <c r="H136" s="243"/>
      <c r="I136" s="284"/>
      <c r="K136" s="243"/>
      <c r="L136" s="284"/>
      <c r="AE136" s="243"/>
      <c r="AF136" s="284"/>
      <c r="AI136" s="284"/>
      <c r="AK136" s="243"/>
      <c r="AL136" s="284"/>
    </row>
    <row r="137" spans="4:38" s="228" customFormat="1" x14ac:dyDescent="0.25">
      <c r="D137" s="243"/>
      <c r="E137" s="284"/>
      <c r="H137" s="243"/>
      <c r="I137" s="284"/>
      <c r="K137" s="243"/>
      <c r="L137" s="284"/>
      <c r="AE137" s="243"/>
      <c r="AF137" s="284"/>
      <c r="AI137" s="284"/>
      <c r="AK137" s="243"/>
      <c r="AL137" s="284"/>
    </row>
    <row r="138" spans="4:38" s="228" customFormat="1" x14ac:dyDescent="0.25">
      <c r="D138" s="243"/>
      <c r="E138" s="284"/>
      <c r="H138" s="243"/>
      <c r="I138" s="284"/>
      <c r="K138" s="243"/>
      <c r="L138" s="284"/>
      <c r="AE138" s="243"/>
      <c r="AF138" s="284"/>
      <c r="AI138" s="284"/>
      <c r="AK138" s="243"/>
      <c r="AL138" s="284"/>
    </row>
    <row r="139" spans="4:38" s="228" customFormat="1" x14ac:dyDescent="0.25">
      <c r="D139" s="243"/>
      <c r="E139" s="284"/>
      <c r="H139" s="243"/>
      <c r="I139" s="284"/>
      <c r="K139" s="243"/>
      <c r="L139" s="284"/>
      <c r="AE139" s="243"/>
      <c r="AF139" s="284"/>
      <c r="AI139" s="284"/>
      <c r="AK139" s="243"/>
      <c r="AL139" s="284"/>
    </row>
    <row r="140" spans="4:38" s="228" customFormat="1" x14ac:dyDescent="0.25">
      <c r="D140" s="243"/>
      <c r="E140" s="284"/>
      <c r="H140" s="243"/>
      <c r="I140" s="284"/>
      <c r="K140" s="243"/>
      <c r="L140" s="284"/>
      <c r="AE140" s="243"/>
      <c r="AF140" s="284"/>
      <c r="AI140" s="284"/>
      <c r="AK140" s="243"/>
      <c r="AL140" s="284"/>
    </row>
    <row r="141" spans="4:38" s="228" customFormat="1" x14ac:dyDescent="0.25">
      <c r="D141" s="243"/>
      <c r="E141" s="284"/>
      <c r="H141" s="243"/>
      <c r="I141" s="284"/>
      <c r="K141" s="243"/>
      <c r="L141" s="284"/>
      <c r="AE141" s="243"/>
      <c r="AF141" s="284"/>
      <c r="AI141" s="284"/>
      <c r="AK141" s="243"/>
      <c r="AL141" s="284"/>
    </row>
    <row r="142" spans="4:38" s="228" customFormat="1" x14ac:dyDescent="0.25">
      <c r="D142" s="243"/>
      <c r="E142" s="284"/>
      <c r="H142" s="243"/>
      <c r="I142" s="284"/>
      <c r="K142" s="243"/>
      <c r="L142" s="284"/>
      <c r="AE142" s="243"/>
      <c r="AF142" s="284"/>
      <c r="AI142" s="284"/>
      <c r="AK142" s="243"/>
      <c r="AL142" s="284"/>
    </row>
    <row r="143" spans="4:38" s="228" customFormat="1" x14ac:dyDescent="0.25">
      <c r="D143" s="243"/>
      <c r="E143" s="284"/>
      <c r="H143" s="243"/>
      <c r="I143" s="284"/>
      <c r="K143" s="243"/>
      <c r="L143" s="284"/>
      <c r="AE143" s="243"/>
      <c r="AF143" s="284"/>
      <c r="AI143" s="284"/>
      <c r="AK143" s="243"/>
      <c r="AL143" s="284"/>
    </row>
    <row r="144" spans="4:38" s="228" customFormat="1" x14ac:dyDescent="0.25">
      <c r="D144" s="243"/>
      <c r="E144" s="284"/>
      <c r="H144" s="243"/>
      <c r="I144" s="284"/>
      <c r="K144" s="243"/>
      <c r="L144" s="284"/>
      <c r="AE144" s="243"/>
      <c r="AF144" s="284"/>
      <c r="AI144" s="284"/>
      <c r="AK144" s="243"/>
      <c r="AL144" s="284"/>
    </row>
    <row r="145" spans="4:38" s="228" customFormat="1" x14ac:dyDescent="0.25">
      <c r="D145" s="243"/>
      <c r="E145" s="284"/>
      <c r="H145" s="243"/>
      <c r="I145" s="284"/>
      <c r="K145" s="243"/>
      <c r="L145" s="284"/>
      <c r="AE145" s="243"/>
      <c r="AF145" s="284"/>
      <c r="AI145" s="284"/>
      <c r="AK145" s="243"/>
      <c r="AL145" s="284"/>
    </row>
    <row r="146" spans="4:38" s="228" customFormat="1" x14ac:dyDescent="0.25">
      <c r="D146" s="243"/>
      <c r="E146" s="284"/>
      <c r="H146" s="243"/>
      <c r="I146" s="284"/>
      <c r="K146" s="243"/>
      <c r="L146" s="284"/>
      <c r="AE146" s="243"/>
      <c r="AF146" s="284"/>
      <c r="AI146" s="284"/>
      <c r="AK146" s="243"/>
      <c r="AL146" s="284"/>
    </row>
    <row r="147" spans="4:38" s="228" customFormat="1" x14ac:dyDescent="0.25">
      <c r="D147" s="243"/>
      <c r="E147" s="284"/>
      <c r="H147" s="243"/>
      <c r="I147" s="284"/>
      <c r="K147" s="243"/>
      <c r="L147" s="284"/>
      <c r="AE147" s="243"/>
      <c r="AF147" s="284"/>
      <c r="AI147" s="284"/>
      <c r="AK147" s="243"/>
      <c r="AL147" s="284"/>
    </row>
    <row r="148" spans="4:38" s="228" customFormat="1" x14ac:dyDescent="0.25">
      <c r="D148" s="243"/>
      <c r="E148" s="284"/>
      <c r="H148" s="243"/>
      <c r="I148" s="284"/>
      <c r="K148" s="243"/>
      <c r="L148" s="284"/>
      <c r="AE148" s="243"/>
      <c r="AF148" s="284"/>
      <c r="AI148" s="284"/>
      <c r="AK148" s="243"/>
      <c r="AL148" s="284"/>
    </row>
    <row r="149" spans="4:38" s="228" customFormat="1" x14ac:dyDescent="0.25">
      <c r="D149" s="243"/>
      <c r="E149" s="284"/>
      <c r="H149" s="243"/>
      <c r="I149" s="284"/>
      <c r="K149" s="243"/>
      <c r="L149" s="284"/>
      <c r="AE149" s="243"/>
      <c r="AF149" s="284"/>
      <c r="AI149" s="284"/>
      <c r="AK149" s="243"/>
      <c r="AL149" s="284"/>
    </row>
    <row r="150" spans="4:38" s="228" customFormat="1" x14ac:dyDescent="0.25">
      <c r="D150" s="243"/>
      <c r="E150" s="284"/>
      <c r="H150" s="243"/>
      <c r="I150" s="284"/>
      <c r="K150" s="243"/>
      <c r="L150" s="284"/>
      <c r="AE150" s="243"/>
      <c r="AF150" s="284"/>
      <c r="AI150" s="284"/>
      <c r="AK150" s="243"/>
      <c r="AL150" s="284"/>
    </row>
    <row r="151" spans="4:38" s="228" customFormat="1" x14ac:dyDescent="0.25">
      <c r="D151" s="243"/>
      <c r="E151" s="284"/>
      <c r="H151" s="243"/>
      <c r="I151" s="284"/>
      <c r="K151" s="243"/>
      <c r="L151" s="284"/>
      <c r="AE151" s="243"/>
      <c r="AF151" s="284"/>
      <c r="AI151" s="284"/>
      <c r="AK151" s="243"/>
      <c r="AL151" s="284"/>
    </row>
    <row r="152" spans="4:38" s="228" customFormat="1" x14ac:dyDescent="0.25">
      <c r="D152" s="243"/>
      <c r="E152" s="284"/>
      <c r="H152" s="243"/>
      <c r="I152" s="284"/>
      <c r="K152" s="243"/>
      <c r="L152" s="284"/>
      <c r="AE152" s="243"/>
      <c r="AF152" s="284"/>
      <c r="AI152" s="284"/>
      <c r="AK152" s="243"/>
      <c r="AL152" s="284"/>
    </row>
    <row r="153" spans="4:38" s="228" customFormat="1" x14ac:dyDescent="0.25">
      <c r="D153" s="243"/>
      <c r="E153" s="284"/>
      <c r="H153" s="243"/>
      <c r="I153" s="284"/>
      <c r="K153" s="243"/>
      <c r="L153" s="284"/>
      <c r="AE153" s="243"/>
      <c r="AF153" s="284"/>
      <c r="AI153" s="284"/>
      <c r="AK153" s="243"/>
      <c r="AL153" s="284"/>
    </row>
    <row r="154" spans="4:38" s="228" customFormat="1" x14ac:dyDescent="0.25">
      <c r="D154" s="243"/>
      <c r="E154" s="284"/>
      <c r="H154" s="243"/>
      <c r="I154" s="284"/>
      <c r="K154" s="243"/>
      <c r="L154" s="284"/>
      <c r="AE154" s="243"/>
      <c r="AF154" s="284"/>
      <c r="AI154" s="284"/>
      <c r="AK154" s="243"/>
      <c r="AL154" s="284"/>
    </row>
    <row r="155" spans="4:38" s="228" customFormat="1" x14ac:dyDescent="0.25">
      <c r="D155" s="243"/>
      <c r="E155" s="284"/>
      <c r="H155" s="243"/>
      <c r="I155" s="284"/>
      <c r="K155" s="243"/>
      <c r="L155" s="284"/>
      <c r="AE155" s="243"/>
      <c r="AF155" s="284"/>
      <c r="AI155" s="284"/>
      <c r="AK155" s="243"/>
      <c r="AL155" s="284"/>
    </row>
    <row r="156" spans="4:38" s="228" customFormat="1" x14ac:dyDescent="0.25">
      <c r="D156" s="243"/>
      <c r="E156" s="284"/>
      <c r="H156" s="243"/>
      <c r="I156" s="284"/>
      <c r="K156" s="243"/>
      <c r="L156" s="284"/>
      <c r="AE156" s="243"/>
      <c r="AF156" s="284"/>
      <c r="AI156" s="284"/>
      <c r="AK156" s="243"/>
      <c r="AL156" s="284"/>
    </row>
    <row r="157" spans="4:38" s="228" customFormat="1" x14ac:dyDescent="0.25">
      <c r="D157" s="243"/>
      <c r="E157" s="284"/>
      <c r="H157" s="243"/>
      <c r="I157" s="284"/>
      <c r="K157" s="243"/>
      <c r="L157" s="284"/>
      <c r="AE157" s="243"/>
      <c r="AF157" s="284"/>
      <c r="AI157" s="284"/>
      <c r="AK157" s="243"/>
      <c r="AL157" s="284"/>
    </row>
    <row r="158" spans="4:38" s="228" customFormat="1" x14ac:dyDescent="0.25">
      <c r="D158" s="243"/>
      <c r="E158" s="284"/>
      <c r="H158" s="243"/>
      <c r="I158" s="284"/>
      <c r="K158" s="243"/>
      <c r="L158" s="284"/>
      <c r="AE158" s="243"/>
      <c r="AF158" s="284"/>
      <c r="AI158" s="284"/>
      <c r="AK158" s="243"/>
      <c r="AL158" s="284"/>
    </row>
    <row r="159" spans="4:38" s="228" customFormat="1" x14ac:dyDescent="0.25">
      <c r="D159" s="243"/>
      <c r="E159" s="284"/>
      <c r="H159" s="243"/>
      <c r="I159" s="284"/>
      <c r="K159" s="243"/>
      <c r="L159" s="284"/>
      <c r="AE159" s="243"/>
      <c r="AF159" s="284"/>
      <c r="AI159" s="284"/>
      <c r="AK159" s="243"/>
      <c r="AL159" s="284"/>
    </row>
    <row r="160" spans="4:38" s="228" customFormat="1" x14ac:dyDescent="0.25">
      <c r="D160" s="243"/>
      <c r="E160" s="284"/>
      <c r="H160" s="243"/>
      <c r="I160" s="284"/>
      <c r="K160" s="243"/>
      <c r="L160" s="284"/>
      <c r="AE160" s="243"/>
      <c r="AF160" s="284"/>
      <c r="AI160" s="284"/>
      <c r="AK160" s="243"/>
      <c r="AL160" s="284"/>
    </row>
    <row r="161" spans="4:38" s="228" customFormat="1" x14ac:dyDescent="0.25">
      <c r="D161" s="243"/>
      <c r="E161" s="284"/>
      <c r="H161" s="243"/>
      <c r="I161" s="284"/>
      <c r="K161" s="243"/>
      <c r="L161" s="284"/>
      <c r="AE161" s="243"/>
      <c r="AF161" s="284"/>
      <c r="AI161" s="284"/>
      <c r="AK161" s="243"/>
      <c r="AL161" s="284"/>
    </row>
    <row r="162" spans="4:38" s="228" customFormat="1" x14ac:dyDescent="0.25">
      <c r="D162" s="243"/>
      <c r="E162" s="284"/>
      <c r="H162" s="243"/>
      <c r="I162" s="284"/>
      <c r="K162" s="243"/>
      <c r="L162" s="284"/>
      <c r="AE162" s="243"/>
      <c r="AF162" s="284"/>
      <c r="AI162" s="284"/>
      <c r="AK162" s="243"/>
      <c r="AL162" s="284"/>
    </row>
    <row r="163" spans="4:38" s="228" customFormat="1" x14ac:dyDescent="0.25">
      <c r="D163" s="243"/>
      <c r="E163" s="284"/>
      <c r="H163" s="243"/>
      <c r="I163" s="284"/>
      <c r="K163" s="243"/>
      <c r="L163" s="284"/>
      <c r="AE163" s="243"/>
      <c r="AF163" s="284"/>
      <c r="AI163" s="284"/>
      <c r="AK163" s="243"/>
      <c r="AL163" s="284"/>
    </row>
    <row r="164" spans="4:38" s="228" customFormat="1" x14ac:dyDescent="0.25">
      <c r="D164" s="243"/>
      <c r="E164" s="284"/>
      <c r="H164" s="243"/>
      <c r="I164" s="284"/>
      <c r="K164" s="243"/>
      <c r="L164" s="284"/>
      <c r="AE164" s="243"/>
      <c r="AF164" s="284"/>
      <c r="AI164" s="284"/>
      <c r="AK164" s="243"/>
      <c r="AL164" s="284"/>
    </row>
    <row r="165" spans="4:38" s="228" customFormat="1" x14ac:dyDescent="0.25">
      <c r="D165" s="243"/>
      <c r="E165" s="284"/>
      <c r="H165" s="243"/>
      <c r="I165" s="284"/>
      <c r="K165" s="243"/>
      <c r="L165" s="284"/>
      <c r="AE165" s="243"/>
      <c r="AF165" s="284"/>
      <c r="AI165" s="284"/>
      <c r="AK165" s="243"/>
      <c r="AL165" s="284"/>
    </row>
    <row r="166" spans="4:38" s="228" customFormat="1" x14ac:dyDescent="0.25">
      <c r="D166" s="243"/>
      <c r="E166" s="284"/>
      <c r="H166" s="243"/>
      <c r="I166" s="284"/>
      <c r="K166" s="243"/>
      <c r="L166" s="284"/>
      <c r="AE166" s="243"/>
      <c r="AF166" s="284"/>
      <c r="AI166" s="284"/>
      <c r="AK166" s="243"/>
      <c r="AL166" s="284"/>
    </row>
    <row r="167" spans="4:38" s="228" customFormat="1" x14ac:dyDescent="0.25">
      <c r="D167" s="243"/>
      <c r="E167" s="284"/>
      <c r="H167" s="243"/>
      <c r="I167" s="284"/>
      <c r="K167" s="243"/>
      <c r="L167" s="284"/>
      <c r="AE167" s="243"/>
      <c r="AF167" s="284"/>
      <c r="AI167" s="284"/>
      <c r="AK167" s="243"/>
      <c r="AL167" s="284"/>
    </row>
    <row r="168" spans="4:38" s="228" customFormat="1" x14ac:dyDescent="0.25">
      <c r="D168" s="243"/>
      <c r="E168" s="284"/>
      <c r="H168" s="243"/>
      <c r="I168" s="284"/>
      <c r="K168" s="243"/>
      <c r="L168" s="284"/>
      <c r="AE168" s="243"/>
      <c r="AF168" s="284"/>
      <c r="AI168" s="284"/>
      <c r="AK168" s="243"/>
      <c r="AL168" s="284"/>
    </row>
    <row r="169" spans="4:38" s="228" customFormat="1" x14ac:dyDescent="0.25">
      <c r="D169" s="243"/>
      <c r="E169" s="284"/>
      <c r="H169" s="243"/>
      <c r="I169" s="284"/>
      <c r="K169" s="243"/>
      <c r="L169" s="284"/>
      <c r="AE169" s="243"/>
      <c r="AF169" s="284"/>
      <c r="AI169" s="284"/>
      <c r="AK169" s="243"/>
      <c r="AL169" s="284"/>
    </row>
    <row r="170" spans="4:38" s="228" customFormat="1" x14ac:dyDescent="0.25">
      <c r="D170" s="243"/>
      <c r="E170" s="284"/>
      <c r="H170" s="243"/>
      <c r="I170" s="284"/>
      <c r="K170" s="243"/>
      <c r="L170" s="284"/>
      <c r="AE170" s="243"/>
      <c r="AF170" s="284"/>
      <c r="AI170" s="284"/>
      <c r="AK170" s="243"/>
      <c r="AL170" s="284"/>
    </row>
    <row r="171" spans="4:38" s="228" customFormat="1" x14ac:dyDescent="0.25">
      <c r="D171" s="243"/>
      <c r="E171" s="284"/>
      <c r="H171" s="243"/>
      <c r="I171" s="284"/>
      <c r="K171" s="243"/>
      <c r="L171" s="284"/>
      <c r="AE171" s="243"/>
      <c r="AF171" s="284"/>
      <c r="AI171" s="284"/>
      <c r="AK171" s="243"/>
      <c r="AL171" s="284"/>
    </row>
    <row r="172" spans="4:38" s="228" customFormat="1" x14ac:dyDescent="0.25">
      <c r="D172" s="243"/>
      <c r="E172" s="284"/>
      <c r="H172" s="243"/>
      <c r="I172" s="284"/>
      <c r="K172" s="243"/>
      <c r="L172" s="284"/>
      <c r="AE172" s="243"/>
      <c r="AF172" s="284"/>
      <c r="AI172" s="284"/>
      <c r="AK172" s="243"/>
      <c r="AL172" s="284"/>
    </row>
    <row r="173" spans="4:38" s="228" customFormat="1" x14ac:dyDescent="0.25">
      <c r="D173" s="243"/>
      <c r="E173" s="284"/>
      <c r="H173" s="243"/>
      <c r="I173" s="284"/>
      <c r="K173" s="243"/>
      <c r="L173" s="284"/>
      <c r="AE173" s="243"/>
      <c r="AF173" s="284"/>
      <c r="AI173" s="284"/>
      <c r="AK173" s="243"/>
      <c r="AL173" s="284"/>
    </row>
    <row r="174" spans="4:38" s="228" customFormat="1" x14ac:dyDescent="0.25">
      <c r="D174" s="243"/>
      <c r="E174" s="284"/>
      <c r="H174" s="243"/>
      <c r="I174" s="284"/>
      <c r="K174" s="243"/>
      <c r="L174" s="284"/>
      <c r="AE174" s="243"/>
      <c r="AF174" s="284"/>
      <c r="AI174" s="284"/>
      <c r="AK174" s="243"/>
      <c r="AL174" s="284"/>
    </row>
    <row r="175" spans="4:38" s="228" customFormat="1" x14ac:dyDescent="0.25">
      <c r="D175" s="243"/>
      <c r="E175" s="284"/>
      <c r="H175" s="243"/>
      <c r="I175" s="284"/>
      <c r="K175" s="243"/>
      <c r="L175" s="284"/>
      <c r="AE175" s="243"/>
      <c r="AF175" s="284"/>
      <c r="AI175" s="284"/>
      <c r="AK175" s="243"/>
      <c r="AL175" s="284"/>
    </row>
    <row r="176" spans="4:38" s="228" customFormat="1" x14ac:dyDescent="0.25">
      <c r="D176" s="243"/>
      <c r="E176" s="284"/>
      <c r="H176" s="243"/>
      <c r="I176" s="284"/>
      <c r="K176" s="243"/>
      <c r="L176" s="284"/>
      <c r="AE176" s="243"/>
      <c r="AF176" s="284"/>
      <c r="AI176" s="284"/>
      <c r="AK176" s="243"/>
      <c r="AL176" s="284"/>
    </row>
    <row r="177" spans="4:38" s="228" customFormat="1" x14ac:dyDescent="0.25">
      <c r="D177" s="243"/>
      <c r="E177" s="284"/>
      <c r="H177" s="243"/>
      <c r="I177" s="284"/>
      <c r="K177" s="243"/>
      <c r="L177" s="284"/>
      <c r="AE177" s="243"/>
      <c r="AF177" s="284"/>
      <c r="AI177" s="284"/>
      <c r="AK177" s="243"/>
      <c r="AL177" s="284"/>
    </row>
    <row r="178" spans="4:38" s="228" customFormat="1" x14ac:dyDescent="0.25">
      <c r="D178" s="243"/>
      <c r="E178" s="284"/>
      <c r="H178" s="243"/>
      <c r="I178" s="284"/>
      <c r="K178" s="243"/>
      <c r="L178" s="284"/>
      <c r="AE178" s="243"/>
      <c r="AF178" s="284"/>
      <c r="AI178" s="284"/>
      <c r="AK178" s="243"/>
      <c r="AL178" s="284"/>
    </row>
    <row r="179" spans="4:38" s="228" customFormat="1" x14ac:dyDescent="0.25">
      <c r="D179" s="243"/>
      <c r="E179" s="284"/>
      <c r="H179" s="243"/>
      <c r="I179" s="284"/>
      <c r="K179" s="243"/>
      <c r="L179" s="284"/>
      <c r="AE179" s="243"/>
      <c r="AF179" s="284"/>
      <c r="AI179" s="284"/>
      <c r="AK179" s="243"/>
      <c r="AL179" s="284"/>
    </row>
    <row r="180" spans="4:38" s="228" customFormat="1" x14ac:dyDescent="0.25">
      <c r="D180" s="243"/>
      <c r="E180" s="284"/>
      <c r="H180" s="243"/>
      <c r="I180" s="284"/>
      <c r="K180" s="243"/>
      <c r="L180" s="284"/>
      <c r="AE180" s="243"/>
      <c r="AF180" s="284"/>
      <c r="AI180" s="284"/>
      <c r="AK180" s="243"/>
      <c r="AL180" s="284"/>
    </row>
    <row r="181" spans="4:38" s="228" customFormat="1" x14ac:dyDescent="0.25">
      <c r="D181" s="243"/>
      <c r="E181" s="284"/>
      <c r="H181" s="243"/>
      <c r="I181" s="284"/>
      <c r="K181" s="243"/>
      <c r="L181" s="284"/>
      <c r="AE181" s="243"/>
      <c r="AF181" s="284"/>
      <c r="AI181" s="284"/>
      <c r="AK181" s="243"/>
      <c r="AL181" s="284"/>
    </row>
    <row r="182" spans="4:38" s="228" customFormat="1" x14ac:dyDescent="0.25">
      <c r="D182" s="243"/>
      <c r="E182" s="284"/>
      <c r="H182" s="243"/>
      <c r="I182" s="284"/>
      <c r="K182" s="243"/>
      <c r="L182" s="284"/>
      <c r="AE182" s="243"/>
      <c r="AF182" s="284"/>
      <c r="AI182" s="284"/>
      <c r="AK182" s="243"/>
      <c r="AL182" s="284"/>
    </row>
    <row r="183" spans="4:38" s="228" customFormat="1" x14ac:dyDescent="0.25">
      <c r="D183" s="243"/>
      <c r="E183" s="284"/>
      <c r="H183" s="243"/>
      <c r="I183" s="284"/>
      <c r="K183" s="243"/>
      <c r="L183" s="284"/>
      <c r="AE183" s="243"/>
      <c r="AF183" s="284"/>
      <c r="AI183" s="284"/>
      <c r="AK183" s="243"/>
      <c r="AL183" s="284"/>
    </row>
    <row r="184" spans="4:38" s="228" customFormat="1" x14ac:dyDescent="0.25">
      <c r="D184" s="243"/>
      <c r="E184" s="284"/>
      <c r="H184" s="243"/>
      <c r="I184" s="284"/>
      <c r="K184" s="243"/>
      <c r="L184" s="284"/>
      <c r="AE184" s="243"/>
      <c r="AF184" s="284"/>
      <c r="AI184" s="284"/>
      <c r="AK184" s="243"/>
      <c r="AL184" s="284"/>
    </row>
    <row r="185" spans="4:38" s="228" customFormat="1" x14ac:dyDescent="0.25">
      <c r="D185" s="243"/>
      <c r="E185" s="284"/>
      <c r="H185" s="243"/>
      <c r="I185" s="284"/>
      <c r="K185" s="243"/>
      <c r="L185" s="284"/>
      <c r="AE185" s="243"/>
      <c r="AF185" s="284"/>
      <c r="AI185" s="284"/>
      <c r="AK185" s="243"/>
      <c r="AL185" s="284"/>
    </row>
    <row r="186" spans="4:38" s="228" customFormat="1" x14ac:dyDescent="0.25">
      <c r="D186" s="243"/>
      <c r="E186" s="284"/>
      <c r="H186" s="243"/>
      <c r="I186" s="284"/>
      <c r="K186" s="243"/>
      <c r="L186" s="284"/>
      <c r="AE186" s="243"/>
      <c r="AF186" s="284"/>
      <c r="AI186" s="284"/>
      <c r="AK186" s="243"/>
      <c r="AL186" s="284"/>
    </row>
    <row r="187" spans="4:38" s="228" customFormat="1" x14ac:dyDescent="0.25">
      <c r="D187" s="243"/>
      <c r="E187" s="284"/>
      <c r="H187" s="243"/>
      <c r="I187" s="284"/>
      <c r="K187" s="243"/>
      <c r="L187" s="284"/>
      <c r="AE187" s="243"/>
      <c r="AF187" s="284"/>
      <c r="AI187" s="284"/>
      <c r="AK187" s="243"/>
      <c r="AL187" s="284"/>
    </row>
    <row r="188" spans="4:38" s="228" customFormat="1" x14ac:dyDescent="0.25">
      <c r="D188" s="243"/>
      <c r="E188" s="284"/>
      <c r="H188" s="243"/>
      <c r="I188" s="284"/>
      <c r="K188" s="243"/>
      <c r="L188" s="284"/>
      <c r="AE188" s="243"/>
      <c r="AF188" s="284"/>
      <c r="AI188" s="284"/>
      <c r="AK188" s="243"/>
      <c r="AL188" s="284"/>
    </row>
    <row r="189" spans="4:38" s="228" customFormat="1" x14ac:dyDescent="0.25">
      <c r="D189" s="243"/>
      <c r="E189" s="284"/>
      <c r="H189" s="243"/>
      <c r="I189" s="284"/>
      <c r="K189" s="243"/>
      <c r="L189" s="284"/>
      <c r="AE189" s="243"/>
      <c r="AF189" s="284"/>
      <c r="AI189" s="284"/>
      <c r="AK189" s="243"/>
      <c r="AL189" s="284"/>
    </row>
    <row r="190" spans="4:38" s="228" customFormat="1" x14ac:dyDescent="0.25">
      <c r="D190" s="243"/>
      <c r="E190" s="284"/>
      <c r="H190" s="243"/>
      <c r="I190" s="284"/>
      <c r="K190" s="243"/>
      <c r="L190" s="284"/>
      <c r="AE190" s="243"/>
      <c r="AF190" s="284"/>
      <c r="AI190" s="284"/>
      <c r="AK190" s="243"/>
      <c r="AL190" s="284"/>
    </row>
    <row r="191" spans="4:38" s="228" customFormat="1" x14ac:dyDescent="0.25">
      <c r="D191" s="243"/>
      <c r="E191" s="284"/>
      <c r="H191" s="243"/>
      <c r="I191" s="284"/>
      <c r="K191" s="243"/>
      <c r="L191" s="284"/>
      <c r="AE191" s="243"/>
      <c r="AF191" s="284"/>
      <c r="AI191" s="284"/>
      <c r="AK191" s="243"/>
      <c r="AL191" s="284"/>
    </row>
    <row r="192" spans="4:38" s="228" customFormat="1" x14ac:dyDescent="0.25">
      <c r="D192" s="243"/>
      <c r="E192" s="284"/>
      <c r="H192" s="243"/>
      <c r="I192" s="284"/>
      <c r="K192" s="243"/>
      <c r="L192" s="284"/>
      <c r="AE192" s="243"/>
      <c r="AF192" s="284"/>
      <c r="AI192" s="284"/>
      <c r="AK192" s="243"/>
      <c r="AL192" s="284"/>
    </row>
    <row r="193" spans="4:38" s="228" customFormat="1" x14ac:dyDescent="0.25">
      <c r="D193" s="243"/>
      <c r="E193" s="284"/>
      <c r="H193" s="243"/>
      <c r="I193" s="284"/>
      <c r="K193" s="243"/>
      <c r="L193" s="284"/>
      <c r="AE193" s="243"/>
      <c r="AF193" s="284"/>
      <c r="AI193" s="284"/>
      <c r="AK193" s="243"/>
      <c r="AL193" s="284"/>
    </row>
    <row r="194" spans="4:38" s="228" customFormat="1" x14ac:dyDescent="0.25">
      <c r="D194" s="243"/>
      <c r="E194" s="284"/>
      <c r="H194" s="243"/>
      <c r="I194" s="284"/>
      <c r="K194" s="243"/>
      <c r="L194" s="284"/>
      <c r="AE194" s="243"/>
      <c r="AF194" s="284"/>
      <c r="AI194" s="284"/>
      <c r="AK194" s="243"/>
      <c r="AL194" s="284"/>
    </row>
    <row r="195" spans="4:38" s="228" customFormat="1" x14ac:dyDescent="0.25">
      <c r="D195" s="243"/>
      <c r="E195" s="284"/>
      <c r="H195" s="243"/>
      <c r="I195" s="284"/>
      <c r="K195" s="243"/>
      <c r="L195" s="284"/>
      <c r="AE195" s="243"/>
      <c r="AF195" s="284"/>
      <c r="AI195" s="284"/>
      <c r="AK195" s="243"/>
      <c r="AL195" s="284"/>
    </row>
    <row r="196" spans="4:38" s="228" customFormat="1" x14ac:dyDescent="0.25">
      <c r="D196" s="243"/>
      <c r="E196" s="284"/>
      <c r="H196" s="243"/>
      <c r="I196" s="284"/>
      <c r="K196" s="243"/>
      <c r="L196" s="284"/>
      <c r="AE196" s="243"/>
      <c r="AF196" s="284"/>
      <c r="AI196" s="284"/>
      <c r="AK196" s="243"/>
      <c r="AL196" s="284"/>
    </row>
    <row r="197" spans="4:38" s="228" customFormat="1" x14ac:dyDescent="0.25">
      <c r="D197" s="243"/>
      <c r="E197" s="284"/>
      <c r="H197" s="243"/>
      <c r="I197" s="284"/>
      <c r="K197" s="243"/>
      <c r="L197" s="284"/>
      <c r="AE197" s="243"/>
      <c r="AF197" s="284"/>
      <c r="AI197" s="284"/>
      <c r="AK197" s="243"/>
      <c r="AL197" s="284"/>
    </row>
    <row r="198" spans="4:38" s="228" customFormat="1" x14ac:dyDescent="0.25">
      <c r="D198" s="243"/>
      <c r="E198" s="284"/>
      <c r="H198" s="243"/>
      <c r="I198" s="284"/>
      <c r="K198" s="243"/>
      <c r="L198" s="284"/>
      <c r="AE198" s="243"/>
      <c r="AF198" s="284"/>
      <c r="AI198" s="284"/>
      <c r="AK198" s="243"/>
      <c r="AL198" s="284"/>
    </row>
    <row r="199" spans="4:38" s="228" customFormat="1" x14ac:dyDescent="0.25">
      <c r="D199" s="243"/>
      <c r="E199" s="284"/>
      <c r="H199" s="243"/>
      <c r="I199" s="284"/>
      <c r="K199" s="243"/>
      <c r="L199" s="284"/>
      <c r="AE199" s="243"/>
      <c r="AF199" s="284"/>
      <c r="AI199" s="284"/>
      <c r="AK199" s="243"/>
      <c r="AL199" s="284"/>
    </row>
    <row r="200" spans="4:38" s="228" customFormat="1" x14ac:dyDescent="0.25">
      <c r="D200" s="243"/>
      <c r="E200" s="284"/>
      <c r="H200" s="243"/>
      <c r="I200" s="284"/>
      <c r="K200" s="243"/>
      <c r="L200" s="284"/>
      <c r="AE200" s="243"/>
      <c r="AF200" s="284"/>
      <c r="AI200" s="284"/>
      <c r="AK200" s="243"/>
      <c r="AL200" s="284"/>
    </row>
    <row r="201" spans="4:38" s="228" customFormat="1" x14ac:dyDescent="0.25">
      <c r="D201" s="243"/>
      <c r="E201" s="284"/>
      <c r="H201" s="243"/>
      <c r="I201" s="284"/>
      <c r="K201" s="243"/>
      <c r="L201" s="284"/>
      <c r="AE201" s="243"/>
      <c r="AF201" s="284"/>
      <c r="AI201" s="284"/>
      <c r="AK201" s="243"/>
      <c r="AL201" s="284"/>
    </row>
    <row r="202" spans="4:38" s="228" customFormat="1" x14ac:dyDescent="0.25">
      <c r="D202" s="243"/>
      <c r="E202" s="284"/>
      <c r="H202" s="243"/>
      <c r="I202" s="284"/>
      <c r="K202" s="243"/>
      <c r="L202" s="284"/>
      <c r="AE202" s="243"/>
      <c r="AF202" s="284"/>
      <c r="AI202" s="284"/>
      <c r="AK202" s="243"/>
      <c r="AL202" s="284"/>
    </row>
    <row r="203" spans="4:38" s="228" customFormat="1" x14ac:dyDescent="0.25">
      <c r="D203" s="243"/>
      <c r="E203" s="284"/>
      <c r="H203" s="243"/>
      <c r="I203" s="284"/>
      <c r="K203" s="243"/>
      <c r="L203" s="284"/>
      <c r="AE203" s="243"/>
      <c r="AF203" s="284"/>
      <c r="AI203" s="284"/>
      <c r="AK203" s="243"/>
      <c r="AL203" s="284"/>
    </row>
    <row r="204" spans="4:38" s="228" customFormat="1" x14ac:dyDescent="0.25">
      <c r="D204" s="243"/>
      <c r="E204" s="284"/>
      <c r="H204" s="243"/>
      <c r="I204" s="284"/>
      <c r="K204" s="243"/>
      <c r="L204" s="284"/>
      <c r="AE204" s="243"/>
      <c r="AF204" s="284"/>
      <c r="AI204" s="284"/>
      <c r="AK204" s="243"/>
      <c r="AL204" s="284"/>
    </row>
    <row r="205" spans="4:38" s="228" customFormat="1" x14ac:dyDescent="0.25">
      <c r="D205" s="243"/>
      <c r="E205" s="284"/>
      <c r="H205" s="243"/>
      <c r="I205" s="284"/>
      <c r="K205" s="243"/>
      <c r="L205" s="284"/>
      <c r="AE205" s="243"/>
      <c r="AF205" s="284"/>
      <c r="AI205" s="284"/>
      <c r="AK205" s="243"/>
      <c r="AL205" s="284"/>
    </row>
    <row r="206" spans="4:38" s="228" customFormat="1" x14ac:dyDescent="0.25">
      <c r="D206" s="243"/>
      <c r="E206" s="284"/>
      <c r="H206" s="243"/>
      <c r="I206" s="284"/>
      <c r="K206" s="243"/>
      <c r="L206" s="284"/>
      <c r="AE206" s="243"/>
      <c r="AF206" s="284"/>
      <c r="AI206" s="284"/>
      <c r="AK206" s="243"/>
      <c r="AL206" s="284"/>
    </row>
    <row r="207" spans="4:38" s="228" customFormat="1" x14ac:dyDescent="0.25">
      <c r="D207" s="243"/>
      <c r="E207" s="284"/>
      <c r="H207" s="243"/>
      <c r="I207" s="284"/>
      <c r="K207" s="243"/>
      <c r="L207" s="284"/>
      <c r="AE207" s="243"/>
      <c r="AF207" s="284"/>
      <c r="AI207" s="284"/>
      <c r="AK207" s="243"/>
      <c r="AL207" s="284"/>
    </row>
    <row r="208" spans="4:38" s="228" customFormat="1" x14ac:dyDescent="0.25">
      <c r="D208" s="243"/>
      <c r="E208" s="284"/>
      <c r="H208" s="243"/>
      <c r="I208" s="284"/>
      <c r="K208" s="243"/>
      <c r="L208" s="284"/>
      <c r="AE208" s="243"/>
      <c r="AF208" s="284"/>
      <c r="AI208" s="284"/>
      <c r="AK208" s="243"/>
      <c r="AL208" s="284"/>
    </row>
    <row r="209" spans="4:38" s="228" customFormat="1" x14ac:dyDescent="0.25">
      <c r="D209" s="243"/>
      <c r="E209" s="284"/>
      <c r="H209" s="243"/>
      <c r="I209" s="284"/>
      <c r="K209" s="243"/>
      <c r="L209" s="284"/>
      <c r="AE209" s="243"/>
      <c r="AF209" s="284"/>
      <c r="AI209" s="284"/>
      <c r="AK209" s="243"/>
      <c r="AL209" s="284"/>
    </row>
    <row r="210" spans="4:38" s="228" customFormat="1" x14ac:dyDescent="0.25">
      <c r="D210" s="243"/>
      <c r="E210" s="284"/>
      <c r="H210" s="243"/>
      <c r="I210" s="284"/>
      <c r="K210" s="243"/>
      <c r="L210" s="284"/>
      <c r="AE210" s="243"/>
      <c r="AF210" s="284"/>
      <c r="AI210" s="284"/>
      <c r="AK210" s="243"/>
      <c r="AL210" s="284"/>
    </row>
    <row r="211" spans="4:38" s="228" customFormat="1" x14ac:dyDescent="0.25">
      <c r="D211" s="243"/>
      <c r="E211" s="284"/>
      <c r="H211" s="243"/>
      <c r="I211" s="284"/>
      <c r="K211" s="243"/>
      <c r="L211" s="284"/>
      <c r="AE211" s="243"/>
      <c r="AF211" s="284"/>
      <c r="AI211" s="284"/>
      <c r="AK211" s="243"/>
      <c r="AL211" s="284"/>
    </row>
    <row r="212" spans="4:38" s="228" customFormat="1" x14ac:dyDescent="0.25">
      <c r="D212" s="243"/>
      <c r="E212" s="284"/>
      <c r="H212" s="243"/>
      <c r="I212" s="284"/>
      <c r="K212" s="243"/>
      <c r="L212" s="284"/>
      <c r="AE212" s="243"/>
      <c r="AF212" s="284"/>
      <c r="AI212" s="284"/>
      <c r="AK212" s="243"/>
      <c r="AL212" s="284"/>
    </row>
    <row r="213" spans="4:38" s="228" customFormat="1" x14ac:dyDescent="0.25">
      <c r="D213" s="243"/>
      <c r="E213" s="284"/>
      <c r="H213" s="243"/>
      <c r="I213" s="284"/>
      <c r="K213" s="243"/>
      <c r="L213" s="284"/>
      <c r="AE213" s="243"/>
      <c r="AF213" s="284"/>
      <c r="AI213" s="284"/>
      <c r="AK213" s="243"/>
      <c r="AL213" s="284"/>
    </row>
    <row r="214" spans="4:38" s="228" customFormat="1" x14ac:dyDescent="0.25">
      <c r="D214" s="243"/>
      <c r="E214" s="284"/>
      <c r="H214" s="243"/>
      <c r="I214" s="284"/>
      <c r="K214" s="243"/>
      <c r="L214" s="284"/>
      <c r="AE214" s="243"/>
      <c r="AF214" s="284"/>
      <c r="AI214" s="284"/>
      <c r="AK214" s="243"/>
      <c r="AL214" s="284"/>
    </row>
    <row r="215" spans="4:38" s="228" customFormat="1" x14ac:dyDescent="0.25">
      <c r="D215" s="243"/>
      <c r="E215" s="284"/>
      <c r="H215" s="243"/>
      <c r="I215" s="284"/>
      <c r="K215" s="243"/>
      <c r="L215" s="284"/>
      <c r="AE215" s="243"/>
      <c r="AF215" s="284"/>
      <c r="AI215" s="284"/>
      <c r="AK215" s="243"/>
      <c r="AL215" s="284"/>
    </row>
    <row r="216" spans="4:38" s="228" customFormat="1" x14ac:dyDescent="0.25">
      <c r="D216" s="243"/>
      <c r="E216" s="284"/>
      <c r="H216" s="243"/>
      <c r="I216" s="284"/>
      <c r="K216" s="243"/>
      <c r="L216" s="284"/>
      <c r="AE216" s="243"/>
      <c r="AF216" s="284"/>
      <c r="AI216" s="284"/>
      <c r="AK216" s="243"/>
      <c r="AL216" s="284"/>
    </row>
    <row r="217" spans="4:38" s="228" customFormat="1" x14ac:dyDescent="0.25">
      <c r="D217" s="243"/>
      <c r="E217" s="284"/>
      <c r="H217" s="243"/>
      <c r="I217" s="284"/>
      <c r="K217" s="243"/>
      <c r="L217" s="284"/>
      <c r="AE217" s="243"/>
      <c r="AF217" s="284"/>
      <c r="AI217" s="284"/>
      <c r="AK217" s="243"/>
      <c r="AL217" s="284"/>
    </row>
    <row r="218" spans="4:38" s="228" customFormat="1" x14ac:dyDescent="0.25">
      <c r="D218" s="243"/>
      <c r="E218" s="284"/>
      <c r="H218" s="243"/>
      <c r="I218" s="284"/>
      <c r="K218" s="243"/>
      <c r="L218" s="284"/>
      <c r="AE218" s="243"/>
      <c r="AF218" s="284"/>
      <c r="AI218" s="284"/>
      <c r="AK218" s="243"/>
      <c r="AL218" s="284"/>
    </row>
    <row r="219" spans="4:38" s="228" customFormat="1" x14ac:dyDescent="0.25">
      <c r="D219" s="243"/>
      <c r="E219" s="284"/>
      <c r="H219" s="243"/>
      <c r="I219" s="284"/>
      <c r="K219" s="243"/>
      <c r="L219" s="284"/>
      <c r="AE219" s="243"/>
      <c r="AF219" s="284"/>
      <c r="AI219" s="284"/>
      <c r="AK219" s="243"/>
      <c r="AL219" s="284"/>
    </row>
    <row r="220" spans="4:38" s="228" customFormat="1" x14ac:dyDescent="0.25">
      <c r="D220" s="243"/>
      <c r="E220" s="284"/>
      <c r="H220" s="243"/>
      <c r="I220" s="284"/>
      <c r="K220" s="243"/>
      <c r="L220" s="284"/>
      <c r="AE220" s="243"/>
      <c r="AF220" s="284"/>
      <c r="AI220" s="284"/>
      <c r="AK220" s="243"/>
      <c r="AL220" s="284"/>
    </row>
    <row r="221" spans="4:38" s="228" customFormat="1" x14ac:dyDescent="0.25">
      <c r="D221" s="243"/>
      <c r="E221" s="284"/>
      <c r="H221" s="243"/>
      <c r="I221" s="284"/>
      <c r="K221" s="243"/>
      <c r="L221" s="284"/>
      <c r="AE221" s="243"/>
      <c r="AF221" s="284"/>
      <c r="AI221" s="284"/>
      <c r="AK221" s="243"/>
      <c r="AL221" s="284"/>
    </row>
    <row r="222" spans="4:38" s="228" customFormat="1" x14ac:dyDescent="0.25">
      <c r="D222" s="243"/>
      <c r="E222" s="284"/>
      <c r="H222" s="243"/>
      <c r="I222" s="284"/>
      <c r="K222" s="243"/>
      <c r="L222" s="284"/>
      <c r="AE222" s="243"/>
      <c r="AF222" s="284"/>
      <c r="AI222" s="284"/>
      <c r="AK222" s="243"/>
      <c r="AL222" s="284"/>
    </row>
    <row r="223" spans="4:38" s="228" customFormat="1" x14ac:dyDescent="0.25">
      <c r="D223" s="243"/>
      <c r="E223" s="284"/>
      <c r="H223" s="243"/>
      <c r="I223" s="284"/>
      <c r="K223" s="243"/>
      <c r="L223" s="284"/>
      <c r="AE223" s="243"/>
      <c r="AF223" s="284"/>
      <c r="AI223" s="284"/>
      <c r="AK223" s="243"/>
      <c r="AL223" s="284"/>
    </row>
    <row r="224" spans="4:38" s="228" customFormat="1" x14ac:dyDescent="0.25">
      <c r="D224" s="243"/>
      <c r="E224" s="284"/>
      <c r="H224" s="243"/>
      <c r="I224" s="284"/>
      <c r="K224" s="243"/>
      <c r="L224" s="284"/>
      <c r="AE224" s="243"/>
      <c r="AF224" s="284"/>
      <c r="AI224" s="284"/>
      <c r="AK224" s="243"/>
      <c r="AL224" s="284"/>
    </row>
    <row r="225" spans="4:38" s="228" customFormat="1" x14ac:dyDescent="0.25">
      <c r="D225" s="243"/>
      <c r="E225" s="284"/>
      <c r="H225" s="243"/>
      <c r="I225" s="284"/>
      <c r="K225" s="243"/>
      <c r="L225" s="284"/>
      <c r="AE225" s="243"/>
      <c r="AF225" s="284"/>
      <c r="AI225" s="284"/>
      <c r="AK225" s="243"/>
      <c r="AL225" s="284"/>
    </row>
    <row r="226" spans="4:38" s="228" customFormat="1" x14ac:dyDescent="0.25">
      <c r="D226" s="243"/>
      <c r="E226" s="284"/>
      <c r="H226" s="243"/>
      <c r="I226" s="284"/>
      <c r="K226" s="243"/>
      <c r="L226" s="284"/>
      <c r="AE226" s="243"/>
      <c r="AF226" s="284"/>
      <c r="AI226" s="284"/>
      <c r="AK226" s="243"/>
      <c r="AL226" s="284"/>
    </row>
    <row r="227" spans="4:38" s="228" customFormat="1" x14ac:dyDescent="0.25">
      <c r="D227" s="243"/>
      <c r="E227" s="284"/>
      <c r="H227" s="243"/>
      <c r="I227" s="284"/>
      <c r="K227" s="243"/>
      <c r="L227" s="284"/>
      <c r="AE227" s="243"/>
      <c r="AF227" s="284"/>
      <c r="AI227" s="284"/>
      <c r="AK227" s="243"/>
      <c r="AL227" s="284"/>
    </row>
    <row r="228" spans="4:38" s="228" customFormat="1" x14ac:dyDescent="0.25">
      <c r="D228" s="243"/>
      <c r="E228" s="284"/>
      <c r="H228" s="243"/>
      <c r="I228" s="284"/>
      <c r="K228" s="243"/>
      <c r="L228" s="284"/>
      <c r="AE228" s="243"/>
      <c r="AF228" s="284"/>
      <c r="AI228" s="284"/>
      <c r="AK228" s="243"/>
      <c r="AL228" s="284"/>
    </row>
    <row r="229" spans="4:38" s="228" customFormat="1" x14ac:dyDescent="0.25">
      <c r="D229" s="243"/>
      <c r="E229" s="284"/>
      <c r="H229" s="243"/>
      <c r="I229" s="284"/>
      <c r="K229" s="243"/>
      <c r="L229" s="284"/>
      <c r="AE229" s="243"/>
      <c r="AF229" s="284"/>
      <c r="AI229" s="284"/>
      <c r="AK229" s="243"/>
      <c r="AL229" s="284"/>
    </row>
    <row r="230" spans="4:38" s="228" customFormat="1" x14ac:dyDescent="0.25">
      <c r="D230" s="243"/>
      <c r="E230" s="284"/>
      <c r="H230" s="243"/>
      <c r="I230" s="284"/>
      <c r="K230" s="243"/>
      <c r="L230" s="284"/>
      <c r="AE230" s="243"/>
      <c r="AF230" s="284"/>
      <c r="AI230" s="284"/>
      <c r="AK230" s="243"/>
      <c r="AL230" s="284"/>
    </row>
    <row r="231" spans="4:38" s="228" customFormat="1" x14ac:dyDescent="0.25">
      <c r="D231" s="243"/>
      <c r="E231" s="284"/>
      <c r="H231" s="243"/>
      <c r="I231" s="284"/>
      <c r="K231" s="243"/>
      <c r="L231" s="284"/>
      <c r="AE231" s="243"/>
      <c r="AF231" s="284"/>
      <c r="AI231" s="284"/>
      <c r="AK231" s="243"/>
      <c r="AL231" s="284"/>
    </row>
    <row r="232" spans="4:38" s="228" customFormat="1" x14ac:dyDescent="0.25">
      <c r="D232" s="243"/>
      <c r="E232" s="284"/>
      <c r="H232" s="243"/>
      <c r="I232" s="284"/>
      <c r="K232" s="243"/>
      <c r="L232" s="284"/>
      <c r="AE232" s="243"/>
      <c r="AF232" s="284"/>
      <c r="AI232" s="284"/>
      <c r="AK232" s="243"/>
      <c r="AL232" s="284"/>
    </row>
    <row r="233" spans="4:38" s="228" customFormat="1" x14ac:dyDescent="0.25">
      <c r="D233" s="243"/>
      <c r="E233" s="284"/>
      <c r="H233" s="243"/>
      <c r="I233" s="284"/>
      <c r="K233" s="243"/>
      <c r="L233" s="284"/>
      <c r="AE233" s="243"/>
      <c r="AF233" s="284"/>
      <c r="AI233" s="284"/>
      <c r="AK233" s="243"/>
      <c r="AL233" s="284"/>
    </row>
    <row r="234" spans="4:38" s="228" customFormat="1" x14ac:dyDescent="0.25">
      <c r="D234" s="243"/>
      <c r="E234" s="284"/>
      <c r="H234" s="243"/>
      <c r="I234" s="284"/>
      <c r="K234" s="243"/>
      <c r="L234" s="284"/>
      <c r="AE234" s="243"/>
      <c r="AF234" s="284"/>
      <c r="AI234" s="284"/>
      <c r="AK234" s="243"/>
      <c r="AL234" s="284"/>
    </row>
    <row r="235" spans="4:38" s="228" customFormat="1" x14ac:dyDescent="0.25">
      <c r="D235" s="243"/>
      <c r="E235" s="284"/>
      <c r="H235" s="243"/>
      <c r="I235" s="284"/>
      <c r="K235" s="243"/>
      <c r="L235" s="284"/>
      <c r="AE235" s="243"/>
      <c r="AF235" s="284"/>
      <c r="AI235" s="284"/>
      <c r="AK235" s="243"/>
      <c r="AL235" s="284"/>
    </row>
    <row r="236" spans="4:38" s="228" customFormat="1" x14ac:dyDescent="0.25">
      <c r="D236" s="243"/>
      <c r="E236" s="284"/>
      <c r="H236" s="243"/>
      <c r="I236" s="284"/>
      <c r="K236" s="243"/>
      <c r="L236" s="284"/>
      <c r="AE236" s="243"/>
      <c r="AF236" s="284"/>
      <c r="AI236" s="284"/>
      <c r="AK236" s="243"/>
      <c r="AL236" s="284"/>
    </row>
    <row r="237" spans="4:38" s="228" customFormat="1" x14ac:dyDescent="0.25">
      <c r="D237" s="243"/>
      <c r="E237" s="284"/>
      <c r="H237" s="243"/>
      <c r="I237" s="284"/>
      <c r="K237" s="243"/>
      <c r="L237" s="284"/>
      <c r="AE237" s="243"/>
      <c r="AF237" s="284"/>
      <c r="AI237" s="284"/>
      <c r="AK237" s="243"/>
      <c r="AL237" s="284"/>
    </row>
    <row r="238" spans="4:38" s="228" customFormat="1" x14ac:dyDescent="0.25">
      <c r="D238" s="243"/>
      <c r="E238" s="284"/>
      <c r="H238" s="243"/>
      <c r="I238" s="284"/>
      <c r="K238" s="243"/>
      <c r="L238" s="284"/>
      <c r="AE238" s="243"/>
      <c r="AF238" s="284"/>
      <c r="AI238" s="284"/>
      <c r="AK238" s="243"/>
      <c r="AL238" s="284"/>
    </row>
    <row r="239" spans="4:38" s="228" customFormat="1" x14ac:dyDescent="0.25">
      <c r="D239" s="243"/>
      <c r="E239" s="284"/>
      <c r="H239" s="243"/>
      <c r="I239" s="284"/>
      <c r="K239" s="243"/>
      <c r="L239" s="284"/>
      <c r="AE239" s="243"/>
      <c r="AF239" s="284"/>
      <c r="AI239" s="284"/>
      <c r="AK239" s="243"/>
      <c r="AL239" s="284"/>
    </row>
    <row r="240" spans="4:38" s="228" customFormat="1" x14ac:dyDescent="0.25">
      <c r="D240" s="243"/>
      <c r="E240" s="284"/>
      <c r="H240" s="243"/>
      <c r="I240" s="284"/>
      <c r="K240" s="243"/>
      <c r="L240" s="284"/>
      <c r="AE240" s="243"/>
      <c r="AF240" s="284"/>
      <c r="AI240" s="284"/>
      <c r="AK240" s="243"/>
      <c r="AL240" s="284"/>
    </row>
    <row r="241" spans="4:38" s="228" customFormat="1" x14ac:dyDescent="0.25">
      <c r="D241" s="243"/>
      <c r="E241" s="284"/>
      <c r="H241" s="243"/>
      <c r="I241" s="284"/>
      <c r="K241" s="243"/>
      <c r="L241" s="284"/>
      <c r="AE241" s="243"/>
      <c r="AF241" s="284"/>
      <c r="AI241" s="284"/>
      <c r="AK241" s="243"/>
      <c r="AL241" s="284"/>
    </row>
    <row r="242" spans="4:38" s="228" customFormat="1" x14ac:dyDescent="0.25">
      <c r="D242" s="243"/>
      <c r="E242" s="284"/>
      <c r="H242" s="243"/>
      <c r="I242" s="284"/>
      <c r="K242" s="243"/>
      <c r="L242" s="284"/>
      <c r="AE242" s="243"/>
      <c r="AF242" s="284"/>
      <c r="AI242" s="284"/>
      <c r="AK242" s="243"/>
      <c r="AL242" s="284"/>
    </row>
    <row r="243" spans="4:38" s="228" customFormat="1" x14ac:dyDescent="0.25">
      <c r="D243" s="243"/>
      <c r="E243" s="284"/>
      <c r="H243" s="243"/>
      <c r="I243" s="284"/>
      <c r="K243" s="243"/>
      <c r="L243" s="284"/>
      <c r="AE243" s="243"/>
      <c r="AF243" s="284"/>
      <c r="AI243" s="284"/>
      <c r="AK243" s="243"/>
      <c r="AL243" s="284"/>
    </row>
    <row r="244" spans="4:38" s="228" customFormat="1" x14ac:dyDescent="0.25">
      <c r="D244" s="243"/>
      <c r="E244" s="284"/>
      <c r="H244" s="243"/>
      <c r="I244" s="284"/>
      <c r="K244" s="243"/>
      <c r="L244" s="284"/>
      <c r="AE244" s="243"/>
      <c r="AF244" s="284"/>
      <c r="AI244" s="284"/>
      <c r="AK244" s="243"/>
      <c r="AL244" s="284"/>
    </row>
    <row r="245" spans="4:38" s="228" customFormat="1" x14ac:dyDescent="0.25">
      <c r="D245" s="243"/>
      <c r="E245" s="284"/>
      <c r="H245" s="243"/>
      <c r="I245" s="284"/>
      <c r="K245" s="243"/>
      <c r="L245" s="284"/>
      <c r="AE245" s="243"/>
      <c r="AF245" s="284"/>
      <c r="AI245" s="284"/>
      <c r="AK245" s="243"/>
      <c r="AL245" s="284"/>
    </row>
    <row r="246" spans="4:38" s="228" customFormat="1" x14ac:dyDescent="0.25">
      <c r="D246" s="243"/>
      <c r="E246" s="284"/>
      <c r="H246" s="243"/>
      <c r="I246" s="284"/>
      <c r="K246" s="243"/>
      <c r="L246" s="284"/>
      <c r="AE246" s="243"/>
      <c r="AF246" s="284"/>
      <c r="AI246" s="284"/>
      <c r="AK246" s="243"/>
      <c r="AL246" s="284"/>
    </row>
    <row r="247" spans="4:38" s="228" customFormat="1" x14ac:dyDescent="0.25">
      <c r="D247" s="243"/>
      <c r="E247" s="284"/>
      <c r="H247" s="243"/>
      <c r="I247" s="284"/>
      <c r="K247" s="243"/>
      <c r="L247" s="284"/>
      <c r="AE247" s="243"/>
      <c r="AF247" s="284"/>
      <c r="AI247" s="284"/>
      <c r="AK247" s="243"/>
      <c r="AL247" s="284"/>
    </row>
    <row r="248" spans="4:38" s="228" customFormat="1" x14ac:dyDescent="0.25">
      <c r="D248" s="243"/>
      <c r="E248" s="284"/>
      <c r="H248" s="243"/>
      <c r="I248" s="284"/>
      <c r="K248" s="243"/>
      <c r="L248" s="284"/>
      <c r="AE248" s="243"/>
      <c r="AF248" s="284"/>
      <c r="AI248" s="284"/>
      <c r="AK248" s="243"/>
      <c r="AL248" s="284"/>
    </row>
    <row r="249" spans="4:38" s="228" customFormat="1" x14ac:dyDescent="0.25">
      <c r="D249" s="243"/>
      <c r="E249" s="284"/>
      <c r="H249" s="243"/>
      <c r="I249" s="284"/>
      <c r="K249" s="243"/>
      <c r="L249" s="284"/>
      <c r="AE249" s="243"/>
      <c r="AF249" s="284"/>
      <c r="AI249" s="284"/>
      <c r="AK249" s="243"/>
      <c r="AL249" s="284"/>
    </row>
    <row r="250" spans="4:38" s="228" customFormat="1" x14ac:dyDescent="0.25">
      <c r="D250" s="243"/>
      <c r="E250" s="284"/>
      <c r="H250" s="243"/>
      <c r="I250" s="284"/>
      <c r="K250" s="243"/>
      <c r="L250" s="284"/>
      <c r="AE250" s="243"/>
      <c r="AF250" s="284"/>
      <c r="AI250" s="284"/>
      <c r="AK250" s="243"/>
      <c r="AL250" s="284"/>
    </row>
    <row r="251" spans="4:38" s="228" customFormat="1" x14ac:dyDescent="0.25">
      <c r="D251" s="243"/>
      <c r="E251" s="284"/>
      <c r="H251" s="243"/>
      <c r="I251" s="284"/>
      <c r="K251" s="243"/>
      <c r="L251" s="284"/>
      <c r="AE251" s="243"/>
      <c r="AF251" s="284"/>
      <c r="AI251" s="284"/>
      <c r="AK251" s="243"/>
      <c r="AL251" s="284"/>
    </row>
    <row r="252" spans="4:38" s="228" customFormat="1" x14ac:dyDescent="0.25">
      <c r="D252" s="243"/>
      <c r="E252" s="284"/>
      <c r="H252" s="243"/>
      <c r="I252" s="284"/>
      <c r="K252" s="243"/>
      <c r="L252" s="284"/>
      <c r="AE252" s="243"/>
      <c r="AF252" s="284"/>
      <c r="AI252" s="284"/>
      <c r="AK252" s="243"/>
      <c r="AL252" s="284"/>
    </row>
    <row r="253" spans="4:38" s="228" customFormat="1" x14ac:dyDescent="0.25">
      <c r="D253" s="243"/>
      <c r="E253" s="284"/>
      <c r="H253" s="243"/>
      <c r="I253" s="284"/>
      <c r="K253" s="243"/>
      <c r="L253" s="284"/>
      <c r="AE253" s="243"/>
      <c r="AF253" s="284"/>
      <c r="AI253" s="284"/>
      <c r="AK253" s="243"/>
      <c r="AL253" s="284"/>
    </row>
    <row r="254" spans="4:38" s="228" customFormat="1" x14ac:dyDescent="0.25">
      <c r="D254" s="243"/>
      <c r="E254" s="284"/>
      <c r="H254" s="243"/>
      <c r="I254" s="284"/>
      <c r="K254" s="243"/>
      <c r="L254" s="284"/>
      <c r="AE254" s="243"/>
      <c r="AF254" s="284"/>
      <c r="AI254" s="284"/>
      <c r="AK254" s="243"/>
      <c r="AL254" s="284"/>
    </row>
    <row r="255" spans="4:38" s="228" customFormat="1" x14ac:dyDescent="0.25">
      <c r="D255" s="243"/>
      <c r="E255" s="284"/>
      <c r="H255" s="243"/>
      <c r="I255" s="284"/>
      <c r="K255" s="243"/>
      <c r="L255" s="284"/>
      <c r="AE255" s="243"/>
      <c r="AF255" s="284"/>
      <c r="AI255" s="284"/>
      <c r="AK255" s="243"/>
      <c r="AL255" s="284"/>
    </row>
    <row r="256" spans="4:38" s="228" customFormat="1" x14ac:dyDescent="0.25">
      <c r="D256" s="243"/>
      <c r="E256" s="284"/>
      <c r="H256" s="243"/>
      <c r="I256" s="284"/>
      <c r="K256" s="243"/>
      <c r="L256" s="284"/>
      <c r="AE256" s="243"/>
      <c r="AF256" s="284"/>
      <c r="AI256" s="284"/>
      <c r="AK256" s="243"/>
      <c r="AL256" s="284"/>
    </row>
    <row r="257" spans="4:38" s="228" customFormat="1" x14ac:dyDescent="0.25">
      <c r="D257" s="243"/>
      <c r="E257" s="284"/>
      <c r="H257" s="243"/>
      <c r="I257" s="284"/>
      <c r="K257" s="243"/>
      <c r="L257" s="284"/>
      <c r="AE257" s="243"/>
      <c r="AF257" s="284"/>
      <c r="AI257" s="284"/>
      <c r="AK257" s="243"/>
      <c r="AL257" s="284"/>
    </row>
    <row r="258" spans="4:38" s="228" customFormat="1" x14ac:dyDescent="0.25">
      <c r="D258" s="243"/>
      <c r="E258" s="284"/>
      <c r="H258" s="243"/>
      <c r="I258" s="284"/>
      <c r="K258" s="243"/>
      <c r="L258" s="284"/>
      <c r="AE258" s="243"/>
      <c r="AF258" s="284"/>
      <c r="AI258" s="284"/>
      <c r="AK258" s="243"/>
      <c r="AL258" s="284"/>
    </row>
    <row r="259" spans="4:38" s="228" customFormat="1" x14ac:dyDescent="0.25">
      <c r="D259" s="243"/>
      <c r="E259" s="284"/>
      <c r="H259" s="243"/>
      <c r="I259" s="284"/>
      <c r="K259" s="243"/>
      <c r="L259" s="284"/>
      <c r="AE259" s="243"/>
      <c r="AF259" s="284"/>
      <c r="AI259" s="284"/>
      <c r="AK259" s="243"/>
      <c r="AL259" s="284"/>
    </row>
    <row r="260" spans="4:38" s="228" customFormat="1" x14ac:dyDescent="0.25">
      <c r="D260" s="243"/>
      <c r="E260" s="284"/>
      <c r="H260" s="243"/>
      <c r="I260" s="284"/>
      <c r="K260" s="243"/>
      <c r="L260" s="284"/>
      <c r="AE260" s="243"/>
      <c r="AF260" s="284"/>
      <c r="AI260" s="284"/>
      <c r="AK260" s="243"/>
      <c r="AL260" s="284"/>
    </row>
    <row r="261" spans="4:38" s="228" customFormat="1" x14ac:dyDescent="0.25">
      <c r="D261" s="243"/>
      <c r="E261" s="284"/>
      <c r="H261" s="243"/>
      <c r="I261" s="284"/>
      <c r="K261" s="243"/>
      <c r="L261" s="284"/>
      <c r="AE261" s="243"/>
      <c r="AF261" s="284"/>
      <c r="AI261" s="284"/>
      <c r="AK261" s="243"/>
      <c r="AL261" s="284"/>
    </row>
    <row r="262" spans="4:38" s="228" customFormat="1" x14ac:dyDescent="0.25">
      <c r="D262" s="243"/>
      <c r="E262" s="284"/>
      <c r="H262" s="243"/>
      <c r="I262" s="284"/>
      <c r="K262" s="243"/>
      <c r="L262" s="284"/>
      <c r="AE262" s="243"/>
      <c r="AF262" s="284"/>
      <c r="AI262" s="284"/>
      <c r="AK262" s="243"/>
      <c r="AL262" s="284"/>
    </row>
    <row r="263" spans="4:38" s="228" customFormat="1" x14ac:dyDescent="0.25">
      <c r="D263" s="243"/>
      <c r="E263" s="284"/>
      <c r="H263" s="243"/>
      <c r="I263" s="284"/>
      <c r="K263" s="243"/>
      <c r="L263" s="284"/>
      <c r="AE263" s="243"/>
      <c r="AF263" s="284"/>
      <c r="AI263" s="284"/>
      <c r="AK263" s="243"/>
      <c r="AL263" s="284"/>
    </row>
    <row r="264" spans="4:38" s="228" customFormat="1" x14ac:dyDescent="0.25">
      <c r="D264" s="243"/>
      <c r="E264" s="284"/>
      <c r="H264" s="243"/>
      <c r="I264" s="284"/>
      <c r="K264" s="243"/>
      <c r="L264" s="284"/>
      <c r="AE264" s="243"/>
      <c r="AF264" s="284"/>
      <c r="AI264" s="284"/>
      <c r="AK264" s="243"/>
      <c r="AL264" s="284"/>
    </row>
    <row r="265" spans="4:38" s="228" customFormat="1" x14ac:dyDescent="0.25">
      <c r="D265" s="243"/>
      <c r="E265" s="284"/>
      <c r="H265" s="243"/>
      <c r="I265" s="284"/>
      <c r="K265" s="243"/>
      <c r="L265" s="284"/>
      <c r="AE265" s="243"/>
      <c r="AF265" s="284"/>
      <c r="AI265" s="284"/>
      <c r="AK265" s="243"/>
      <c r="AL265" s="284"/>
    </row>
    <row r="266" spans="4:38" s="228" customFormat="1" x14ac:dyDescent="0.25">
      <c r="D266" s="243"/>
      <c r="E266" s="284"/>
      <c r="H266" s="243"/>
      <c r="I266" s="284"/>
      <c r="K266" s="243"/>
      <c r="L266" s="284"/>
      <c r="AE266" s="243"/>
      <c r="AF266" s="284"/>
      <c r="AI266" s="284"/>
      <c r="AK266" s="243"/>
      <c r="AL266" s="284"/>
    </row>
    <row r="267" spans="4:38" s="228" customFormat="1" x14ac:dyDescent="0.25">
      <c r="D267" s="243"/>
      <c r="E267" s="284"/>
      <c r="H267" s="243"/>
      <c r="I267" s="284"/>
      <c r="K267" s="243"/>
      <c r="L267" s="284"/>
      <c r="AE267" s="243"/>
      <c r="AF267" s="284"/>
      <c r="AI267" s="284"/>
      <c r="AK267" s="243"/>
      <c r="AL267" s="284"/>
    </row>
    <row r="268" spans="4:38" s="228" customFormat="1" x14ac:dyDescent="0.25">
      <c r="D268" s="243"/>
      <c r="E268" s="284"/>
      <c r="H268" s="243"/>
      <c r="I268" s="284"/>
      <c r="K268" s="243"/>
      <c r="L268" s="284"/>
      <c r="AE268" s="243"/>
      <c r="AF268" s="284"/>
      <c r="AI268" s="284"/>
      <c r="AK268" s="243"/>
      <c r="AL268" s="284"/>
    </row>
    <row r="269" spans="4:38" s="228" customFormat="1" x14ac:dyDescent="0.25">
      <c r="D269" s="243"/>
      <c r="E269" s="284"/>
      <c r="H269" s="243"/>
      <c r="I269" s="284"/>
      <c r="K269" s="243"/>
      <c r="L269" s="284"/>
      <c r="AE269" s="243"/>
      <c r="AF269" s="284"/>
      <c r="AI269" s="284"/>
      <c r="AK269" s="243"/>
      <c r="AL269" s="284"/>
    </row>
    <row r="270" spans="4:38" s="228" customFormat="1" x14ac:dyDescent="0.25">
      <c r="D270" s="243"/>
      <c r="E270" s="284"/>
      <c r="H270" s="243"/>
      <c r="I270" s="284"/>
      <c r="K270" s="243"/>
      <c r="L270" s="284"/>
      <c r="AE270" s="243"/>
      <c r="AF270" s="284"/>
      <c r="AI270" s="284"/>
      <c r="AK270" s="243"/>
      <c r="AL270" s="284"/>
    </row>
    <row r="271" spans="4:38" s="228" customFormat="1" x14ac:dyDescent="0.25">
      <c r="D271" s="243"/>
      <c r="E271" s="284"/>
      <c r="H271" s="243"/>
      <c r="I271" s="284"/>
      <c r="K271" s="243"/>
      <c r="L271" s="284"/>
      <c r="AE271" s="243"/>
      <c r="AF271" s="284"/>
      <c r="AI271" s="284"/>
      <c r="AK271" s="243"/>
      <c r="AL271" s="284"/>
    </row>
    <row r="272" spans="4:38" s="228" customFormat="1" x14ac:dyDescent="0.25">
      <c r="D272" s="243"/>
      <c r="E272" s="284"/>
      <c r="H272" s="243"/>
      <c r="I272" s="284"/>
      <c r="K272" s="243"/>
      <c r="L272" s="284"/>
      <c r="AE272" s="243"/>
      <c r="AF272" s="284"/>
      <c r="AI272" s="284"/>
      <c r="AK272" s="243"/>
      <c r="AL272" s="284"/>
    </row>
    <row r="273" spans="4:38" s="228" customFormat="1" x14ac:dyDescent="0.25">
      <c r="D273" s="243"/>
      <c r="E273" s="284"/>
      <c r="H273" s="243"/>
      <c r="I273" s="284"/>
      <c r="K273" s="243"/>
      <c r="L273" s="284"/>
      <c r="AE273" s="243"/>
      <c r="AF273" s="284"/>
      <c r="AI273" s="284"/>
      <c r="AK273" s="243"/>
      <c r="AL273" s="284"/>
    </row>
    <row r="274" spans="4:38" s="228" customFormat="1" x14ac:dyDescent="0.25">
      <c r="D274" s="243"/>
      <c r="E274" s="284"/>
      <c r="H274" s="243"/>
      <c r="I274" s="284"/>
      <c r="K274" s="243"/>
      <c r="L274" s="284"/>
      <c r="AE274" s="243"/>
      <c r="AF274" s="284"/>
      <c r="AI274" s="284"/>
      <c r="AK274" s="243"/>
      <c r="AL274" s="284"/>
    </row>
    <row r="275" spans="4:38" s="228" customFormat="1" x14ac:dyDescent="0.25">
      <c r="D275" s="243"/>
      <c r="E275" s="284"/>
      <c r="H275" s="243"/>
      <c r="I275" s="284"/>
      <c r="K275" s="243"/>
      <c r="L275" s="284"/>
      <c r="AE275" s="243"/>
      <c r="AF275" s="284"/>
      <c r="AI275" s="284"/>
      <c r="AK275" s="243"/>
      <c r="AL275" s="284"/>
    </row>
    <row r="276" spans="4:38" s="228" customFormat="1" x14ac:dyDescent="0.25">
      <c r="D276" s="243"/>
      <c r="E276" s="284"/>
      <c r="H276" s="243"/>
      <c r="I276" s="284"/>
      <c r="K276" s="243"/>
      <c r="L276" s="284"/>
      <c r="AE276" s="243"/>
      <c r="AF276" s="284"/>
      <c r="AI276" s="284"/>
      <c r="AK276" s="243"/>
      <c r="AL276" s="284"/>
    </row>
    <row r="277" spans="4:38" s="228" customFormat="1" x14ac:dyDescent="0.25">
      <c r="D277" s="243"/>
      <c r="E277" s="284"/>
      <c r="H277" s="243"/>
      <c r="I277" s="284"/>
      <c r="K277" s="243"/>
      <c r="L277" s="284"/>
      <c r="AE277" s="243"/>
      <c r="AF277" s="284"/>
      <c r="AI277" s="284"/>
      <c r="AK277" s="243"/>
      <c r="AL277" s="284"/>
    </row>
    <row r="278" spans="4:38" s="228" customFormat="1" x14ac:dyDescent="0.25">
      <c r="D278" s="243"/>
      <c r="E278" s="284"/>
      <c r="H278" s="243"/>
      <c r="I278" s="284"/>
      <c r="K278" s="243"/>
      <c r="L278" s="284"/>
      <c r="AE278" s="243"/>
      <c r="AF278" s="284"/>
      <c r="AI278" s="284"/>
      <c r="AK278" s="243"/>
      <c r="AL278" s="284"/>
    </row>
    <row r="279" spans="4:38" s="228" customFormat="1" x14ac:dyDescent="0.25">
      <c r="D279" s="243"/>
      <c r="E279" s="284"/>
      <c r="H279" s="243"/>
      <c r="I279" s="284"/>
      <c r="K279" s="243"/>
      <c r="L279" s="284"/>
      <c r="AE279" s="243"/>
      <c r="AF279" s="284"/>
      <c r="AI279" s="284"/>
      <c r="AK279" s="243"/>
      <c r="AL279" s="284"/>
    </row>
    <row r="280" spans="4:38" s="228" customFormat="1" x14ac:dyDescent="0.25">
      <c r="D280" s="243"/>
      <c r="E280" s="284"/>
      <c r="H280" s="243"/>
      <c r="I280" s="284"/>
      <c r="K280" s="243"/>
      <c r="L280" s="284"/>
      <c r="AE280" s="243"/>
      <c r="AF280" s="284"/>
      <c r="AI280" s="284"/>
      <c r="AK280" s="243"/>
      <c r="AL280" s="284"/>
    </row>
    <row r="281" spans="4:38" s="228" customFormat="1" x14ac:dyDescent="0.25">
      <c r="D281" s="243"/>
      <c r="E281" s="284"/>
      <c r="H281" s="243"/>
      <c r="I281" s="284"/>
      <c r="K281" s="243"/>
      <c r="L281" s="284"/>
      <c r="AE281" s="243"/>
      <c r="AF281" s="284"/>
      <c r="AI281" s="284"/>
      <c r="AK281" s="243"/>
      <c r="AL281" s="284"/>
    </row>
    <row r="282" spans="4:38" s="228" customFormat="1" x14ac:dyDescent="0.25">
      <c r="D282" s="243"/>
      <c r="E282" s="284"/>
      <c r="H282" s="243"/>
      <c r="I282" s="284"/>
      <c r="K282" s="243"/>
      <c r="L282" s="284"/>
      <c r="AE282" s="243"/>
      <c r="AF282" s="284"/>
      <c r="AI282" s="284"/>
      <c r="AK282" s="243"/>
      <c r="AL282" s="284"/>
    </row>
    <row r="283" spans="4:38" s="228" customFormat="1" x14ac:dyDescent="0.25">
      <c r="D283" s="243"/>
      <c r="E283" s="284"/>
      <c r="H283" s="243"/>
      <c r="I283" s="284"/>
      <c r="K283" s="243"/>
      <c r="L283" s="284"/>
      <c r="AE283" s="243"/>
      <c r="AF283" s="284"/>
      <c r="AI283" s="284"/>
      <c r="AK283" s="243"/>
      <c r="AL283" s="284"/>
    </row>
    <row r="284" spans="4:38" s="228" customFormat="1" x14ac:dyDescent="0.25">
      <c r="D284" s="243"/>
      <c r="E284" s="284"/>
      <c r="H284" s="243"/>
      <c r="I284" s="284"/>
      <c r="K284" s="243"/>
      <c r="L284" s="284"/>
      <c r="AE284" s="243"/>
      <c r="AF284" s="284"/>
      <c r="AI284" s="284"/>
      <c r="AK284" s="243"/>
      <c r="AL284" s="284"/>
    </row>
    <row r="285" spans="4:38" s="228" customFormat="1" x14ac:dyDescent="0.25">
      <c r="D285" s="243"/>
      <c r="E285" s="284"/>
      <c r="H285" s="243"/>
      <c r="I285" s="284"/>
      <c r="K285" s="243"/>
      <c r="L285" s="284"/>
      <c r="AE285" s="243"/>
      <c r="AF285" s="284"/>
      <c r="AI285" s="284"/>
      <c r="AK285" s="243"/>
      <c r="AL285" s="284"/>
    </row>
    <row r="286" spans="4:38" s="228" customFormat="1" x14ac:dyDescent="0.25">
      <c r="D286" s="243"/>
      <c r="E286" s="284"/>
      <c r="H286" s="243"/>
      <c r="I286" s="284"/>
      <c r="K286" s="243"/>
      <c r="L286" s="284"/>
      <c r="AE286" s="243"/>
      <c r="AF286" s="284"/>
      <c r="AI286" s="284"/>
      <c r="AK286" s="243"/>
      <c r="AL286" s="284"/>
    </row>
    <row r="287" spans="4:38" s="228" customFormat="1" x14ac:dyDescent="0.25">
      <c r="D287" s="243"/>
      <c r="E287" s="284"/>
      <c r="H287" s="243"/>
      <c r="I287" s="284"/>
      <c r="K287" s="243"/>
      <c r="L287" s="284"/>
      <c r="AE287" s="243"/>
      <c r="AF287" s="284"/>
      <c r="AI287" s="284"/>
      <c r="AK287" s="243"/>
      <c r="AL287" s="284"/>
    </row>
    <row r="288" spans="4:38" s="228" customFormat="1" x14ac:dyDescent="0.25">
      <c r="D288" s="243"/>
      <c r="E288" s="284"/>
      <c r="H288" s="243"/>
      <c r="I288" s="284"/>
      <c r="K288" s="243"/>
      <c r="L288" s="284"/>
      <c r="AE288" s="243"/>
      <c r="AF288" s="284"/>
      <c r="AI288" s="284"/>
      <c r="AK288" s="243"/>
      <c r="AL288" s="284"/>
    </row>
    <row r="289" spans="4:38" s="228" customFormat="1" x14ac:dyDescent="0.25">
      <c r="D289" s="243"/>
      <c r="E289" s="284"/>
      <c r="H289" s="243"/>
      <c r="I289" s="284"/>
      <c r="K289" s="243"/>
      <c r="L289" s="284"/>
      <c r="AE289" s="243"/>
      <c r="AF289" s="284"/>
      <c r="AI289" s="284"/>
      <c r="AK289" s="243"/>
      <c r="AL289" s="284"/>
    </row>
    <row r="290" spans="4:38" s="228" customFormat="1" x14ac:dyDescent="0.25">
      <c r="D290" s="243"/>
      <c r="E290" s="284"/>
      <c r="H290" s="243"/>
      <c r="I290" s="284"/>
      <c r="K290" s="243"/>
      <c r="L290" s="284"/>
      <c r="AE290" s="243"/>
      <c r="AF290" s="284"/>
      <c r="AI290" s="284"/>
      <c r="AK290" s="243"/>
      <c r="AL290" s="284"/>
    </row>
    <row r="291" spans="4:38" s="228" customFormat="1" x14ac:dyDescent="0.25">
      <c r="D291" s="243"/>
      <c r="E291" s="284"/>
      <c r="H291" s="243"/>
      <c r="I291" s="284"/>
      <c r="K291" s="243"/>
      <c r="L291" s="284"/>
      <c r="AE291" s="243"/>
      <c r="AF291" s="284"/>
      <c r="AI291" s="284"/>
      <c r="AK291" s="243"/>
      <c r="AL291" s="284"/>
    </row>
    <row r="292" spans="4:38" s="228" customFormat="1" x14ac:dyDescent="0.25">
      <c r="D292" s="243"/>
      <c r="E292" s="284"/>
      <c r="H292" s="243"/>
      <c r="I292" s="284"/>
      <c r="K292" s="243"/>
      <c r="L292" s="284"/>
      <c r="AE292" s="243"/>
      <c r="AF292" s="284"/>
      <c r="AI292" s="284"/>
      <c r="AK292" s="243"/>
      <c r="AL292" s="284"/>
    </row>
    <row r="293" spans="4:38" s="228" customFormat="1" x14ac:dyDescent="0.25">
      <c r="D293" s="243"/>
      <c r="E293" s="284"/>
      <c r="H293" s="243"/>
      <c r="I293" s="284"/>
      <c r="K293" s="243"/>
      <c r="L293" s="284"/>
      <c r="AE293" s="243"/>
      <c r="AF293" s="284"/>
      <c r="AI293" s="284"/>
      <c r="AK293" s="243"/>
      <c r="AL293" s="284"/>
    </row>
    <row r="294" spans="4:38" s="228" customFormat="1" x14ac:dyDescent="0.25">
      <c r="D294" s="243"/>
      <c r="E294" s="284"/>
      <c r="H294" s="243"/>
      <c r="I294" s="284"/>
      <c r="K294" s="243"/>
      <c r="L294" s="284"/>
      <c r="AE294" s="243"/>
      <c r="AF294" s="284"/>
      <c r="AI294" s="284"/>
      <c r="AK294" s="243"/>
      <c r="AL294" s="284"/>
    </row>
    <row r="295" spans="4:38" s="228" customFormat="1" x14ac:dyDescent="0.25">
      <c r="D295" s="243"/>
      <c r="E295" s="284"/>
      <c r="H295" s="243"/>
      <c r="I295" s="284"/>
      <c r="K295" s="243"/>
      <c r="L295" s="284"/>
      <c r="AE295" s="243"/>
      <c r="AF295" s="284"/>
      <c r="AI295" s="284"/>
      <c r="AK295" s="243"/>
      <c r="AL295" s="284"/>
    </row>
    <row r="296" spans="4:38" s="228" customFormat="1" x14ac:dyDescent="0.25">
      <c r="D296" s="243"/>
      <c r="E296" s="284"/>
      <c r="H296" s="243"/>
      <c r="I296" s="284"/>
      <c r="K296" s="243"/>
      <c r="L296" s="284"/>
      <c r="AE296" s="243"/>
      <c r="AF296" s="284"/>
      <c r="AI296" s="284"/>
      <c r="AK296" s="243"/>
      <c r="AL296" s="284"/>
    </row>
    <row r="297" spans="4:38" s="228" customFormat="1" x14ac:dyDescent="0.25">
      <c r="D297" s="243"/>
      <c r="E297" s="284"/>
      <c r="H297" s="243"/>
      <c r="I297" s="284"/>
      <c r="K297" s="243"/>
      <c r="L297" s="284"/>
      <c r="AE297" s="243"/>
      <c r="AF297" s="284"/>
      <c r="AI297" s="284"/>
      <c r="AK297" s="243"/>
      <c r="AL297" s="284"/>
    </row>
    <row r="298" spans="4:38" s="228" customFormat="1" x14ac:dyDescent="0.25">
      <c r="D298" s="243"/>
      <c r="E298" s="284"/>
      <c r="H298" s="243"/>
      <c r="I298" s="284"/>
      <c r="K298" s="243"/>
      <c r="L298" s="284"/>
      <c r="AE298" s="243"/>
      <c r="AF298" s="284"/>
      <c r="AI298" s="284"/>
      <c r="AK298" s="243"/>
      <c r="AL298" s="284"/>
    </row>
    <row r="299" spans="4:38" s="228" customFormat="1" x14ac:dyDescent="0.25">
      <c r="D299" s="243"/>
      <c r="E299" s="284"/>
      <c r="H299" s="243"/>
      <c r="I299" s="284"/>
      <c r="K299" s="243"/>
      <c r="L299" s="284"/>
      <c r="AE299" s="243"/>
      <c r="AF299" s="284"/>
      <c r="AI299" s="284"/>
      <c r="AK299" s="243"/>
      <c r="AL299" s="284"/>
    </row>
    <row r="300" spans="4:38" s="228" customFormat="1" x14ac:dyDescent="0.25">
      <c r="D300" s="243"/>
      <c r="E300" s="284"/>
      <c r="H300" s="243"/>
      <c r="I300" s="284"/>
      <c r="K300" s="243"/>
      <c r="L300" s="284"/>
      <c r="AE300" s="243"/>
      <c r="AF300" s="284"/>
      <c r="AI300" s="284"/>
      <c r="AK300" s="243"/>
      <c r="AL300" s="284"/>
    </row>
    <row r="301" spans="4:38" s="228" customFormat="1" x14ac:dyDescent="0.25">
      <c r="D301" s="243"/>
      <c r="E301" s="284"/>
      <c r="H301" s="243"/>
      <c r="I301" s="284"/>
      <c r="K301" s="243"/>
      <c r="L301" s="284"/>
      <c r="AE301" s="243"/>
      <c r="AF301" s="284"/>
      <c r="AI301" s="284"/>
      <c r="AK301" s="243"/>
      <c r="AL301" s="284"/>
    </row>
    <row r="302" spans="4:38" s="228" customFormat="1" x14ac:dyDescent="0.25">
      <c r="D302" s="243"/>
      <c r="E302" s="284"/>
      <c r="H302" s="243"/>
      <c r="I302" s="284"/>
      <c r="K302" s="243"/>
      <c r="L302" s="284"/>
      <c r="AE302" s="243"/>
      <c r="AF302" s="284"/>
      <c r="AI302" s="284"/>
      <c r="AK302" s="243"/>
      <c r="AL302" s="284"/>
    </row>
    <row r="303" spans="4:38" s="228" customFormat="1" x14ac:dyDescent="0.25">
      <c r="D303" s="243"/>
      <c r="E303" s="284"/>
      <c r="H303" s="243"/>
      <c r="I303" s="284"/>
      <c r="K303" s="243"/>
      <c r="L303" s="284"/>
      <c r="AE303" s="243"/>
      <c r="AF303" s="284"/>
      <c r="AI303" s="284"/>
      <c r="AK303" s="243"/>
      <c r="AL303" s="284"/>
    </row>
    <row r="304" spans="4:38" s="228" customFormat="1" x14ac:dyDescent="0.25">
      <c r="D304" s="243"/>
      <c r="E304" s="284"/>
      <c r="H304" s="243"/>
      <c r="I304" s="284"/>
      <c r="K304" s="243"/>
      <c r="L304" s="284"/>
      <c r="AE304" s="243"/>
      <c r="AF304" s="284"/>
      <c r="AI304" s="284"/>
      <c r="AK304" s="243"/>
      <c r="AL304" s="284"/>
    </row>
    <row r="305" spans="4:38" s="228" customFormat="1" x14ac:dyDescent="0.25">
      <c r="D305" s="243"/>
      <c r="E305" s="284"/>
      <c r="H305" s="243"/>
      <c r="I305" s="284"/>
      <c r="K305" s="243"/>
      <c r="L305" s="284"/>
      <c r="AE305" s="243"/>
      <c r="AF305" s="284"/>
      <c r="AI305" s="284"/>
      <c r="AK305" s="243"/>
      <c r="AL305" s="284"/>
    </row>
    <row r="306" spans="4:38" s="228" customFormat="1" x14ac:dyDescent="0.25">
      <c r="D306" s="243"/>
      <c r="E306" s="284"/>
      <c r="H306" s="243"/>
      <c r="I306" s="284"/>
      <c r="K306" s="243"/>
      <c r="L306" s="284"/>
      <c r="AE306" s="243"/>
      <c r="AF306" s="284"/>
      <c r="AI306" s="284"/>
      <c r="AK306" s="243"/>
      <c r="AL306" s="284"/>
    </row>
    <row r="307" spans="4:38" s="228" customFormat="1" x14ac:dyDescent="0.25">
      <c r="D307" s="243"/>
      <c r="E307" s="284"/>
      <c r="H307" s="243"/>
      <c r="I307" s="284"/>
      <c r="K307" s="243"/>
      <c r="L307" s="284"/>
      <c r="AE307" s="243"/>
      <c r="AF307" s="284"/>
      <c r="AI307" s="284"/>
      <c r="AK307" s="243"/>
      <c r="AL307" s="284"/>
    </row>
    <row r="308" spans="4:38" s="228" customFormat="1" x14ac:dyDescent="0.25">
      <c r="D308" s="243"/>
      <c r="E308" s="284"/>
      <c r="H308" s="243"/>
      <c r="I308" s="284"/>
      <c r="K308" s="243"/>
      <c r="L308" s="284"/>
      <c r="AE308" s="243"/>
      <c r="AF308" s="284"/>
      <c r="AI308" s="284"/>
      <c r="AK308" s="243"/>
      <c r="AL308" s="284"/>
    </row>
    <row r="309" spans="4:38" s="228" customFormat="1" x14ac:dyDescent="0.25">
      <c r="D309" s="243"/>
      <c r="E309" s="284"/>
      <c r="H309" s="243"/>
      <c r="I309" s="284"/>
      <c r="K309" s="243"/>
      <c r="L309" s="284"/>
      <c r="AE309" s="243"/>
      <c r="AF309" s="284"/>
      <c r="AI309" s="284"/>
      <c r="AK309" s="243"/>
      <c r="AL309" s="284"/>
    </row>
    <row r="310" spans="4:38" s="228" customFormat="1" x14ac:dyDescent="0.25">
      <c r="D310" s="243"/>
      <c r="E310" s="284"/>
      <c r="H310" s="243"/>
      <c r="I310" s="284"/>
      <c r="K310" s="243"/>
      <c r="L310" s="284"/>
      <c r="AE310" s="243"/>
      <c r="AF310" s="284"/>
      <c r="AI310" s="284"/>
      <c r="AK310" s="243"/>
      <c r="AL310" s="284"/>
    </row>
    <row r="311" spans="4:38" s="228" customFormat="1" x14ac:dyDescent="0.25">
      <c r="D311" s="243"/>
      <c r="E311" s="284"/>
      <c r="H311" s="243"/>
      <c r="I311" s="284"/>
      <c r="K311" s="243"/>
      <c r="L311" s="284"/>
      <c r="AE311" s="243"/>
      <c r="AF311" s="284"/>
      <c r="AI311" s="284"/>
      <c r="AK311" s="243"/>
      <c r="AL311" s="284"/>
    </row>
    <row r="312" spans="4:38" s="228" customFormat="1" x14ac:dyDescent="0.25">
      <c r="D312" s="243"/>
      <c r="E312" s="284"/>
      <c r="H312" s="243"/>
      <c r="I312" s="284"/>
      <c r="K312" s="243"/>
      <c r="L312" s="284"/>
      <c r="AE312" s="243"/>
      <c r="AF312" s="284"/>
      <c r="AI312" s="284"/>
      <c r="AK312" s="243"/>
      <c r="AL312" s="284"/>
    </row>
    <row r="313" spans="4:38" s="228" customFormat="1" x14ac:dyDescent="0.25">
      <c r="D313" s="243"/>
      <c r="E313" s="284"/>
      <c r="H313" s="243"/>
      <c r="I313" s="284"/>
      <c r="K313" s="243"/>
      <c r="L313" s="284"/>
      <c r="AE313" s="243"/>
      <c r="AF313" s="284"/>
      <c r="AI313" s="284"/>
      <c r="AK313" s="243"/>
      <c r="AL313" s="284"/>
    </row>
    <row r="314" spans="4:38" s="228" customFormat="1" x14ac:dyDescent="0.25">
      <c r="D314" s="243"/>
      <c r="E314" s="284"/>
      <c r="H314" s="243"/>
      <c r="I314" s="284"/>
      <c r="K314" s="243"/>
      <c r="L314" s="284"/>
      <c r="AE314" s="243"/>
      <c r="AF314" s="284"/>
      <c r="AI314" s="284"/>
      <c r="AK314" s="243"/>
      <c r="AL314" s="284"/>
    </row>
    <row r="315" spans="4:38" s="228" customFormat="1" x14ac:dyDescent="0.25">
      <c r="D315" s="243"/>
      <c r="E315" s="284"/>
      <c r="H315" s="243"/>
      <c r="I315" s="284"/>
      <c r="K315" s="243"/>
      <c r="L315" s="284"/>
      <c r="AE315" s="243"/>
      <c r="AF315" s="284"/>
      <c r="AI315" s="284"/>
      <c r="AK315" s="243"/>
      <c r="AL315" s="284"/>
    </row>
    <row r="316" spans="4:38" s="228" customFormat="1" x14ac:dyDescent="0.25">
      <c r="D316" s="243"/>
      <c r="E316" s="284"/>
      <c r="H316" s="243"/>
      <c r="I316" s="284"/>
      <c r="K316" s="243"/>
      <c r="L316" s="284"/>
      <c r="AE316" s="243"/>
      <c r="AF316" s="284"/>
      <c r="AI316" s="284"/>
      <c r="AK316" s="243"/>
      <c r="AL316" s="284"/>
    </row>
    <row r="317" spans="4:38" s="228" customFormat="1" x14ac:dyDescent="0.25">
      <c r="D317" s="243"/>
      <c r="E317" s="284"/>
      <c r="H317" s="243"/>
      <c r="I317" s="284"/>
      <c r="K317" s="243"/>
      <c r="L317" s="284"/>
      <c r="AE317" s="243"/>
      <c r="AF317" s="284"/>
      <c r="AI317" s="284"/>
      <c r="AK317" s="243"/>
      <c r="AL317" s="284"/>
    </row>
    <row r="318" spans="4:38" s="228" customFormat="1" x14ac:dyDescent="0.25">
      <c r="D318" s="243"/>
      <c r="E318" s="284"/>
      <c r="H318" s="243"/>
      <c r="I318" s="284"/>
      <c r="K318" s="243"/>
      <c r="L318" s="284"/>
      <c r="AE318" s="243"/>
      <c r="AF318" s="284"/>
      <c r="AI318" s="284"/>
      <c r="AK318" s="243"/>
      <c r="AL318" s="284"/>
    </row>
    <row r="319" spans="4:38" s="228" customFormat="1" x14ac:dyDescent="0.25">
      <c r="D319" s="243"/>
      <c r="E319" s="284"/>
      <c r="H319" s="243"/>
      <c r="I319" s="284"/>
      <c r="K319" s="243"/>
      <c r="L319" s="284"/>
      <c r="AE319" s="243"/>
      <c r="AF319" s="284"/>
      <c r="AI319" s="284"/>
      <c r="AK319" s="243"/>
      <c r="AL319" s="284"/>
    </row>
    <row r="320" spans="4:38" s="228" customFormat="1" x14ac:dyDescent="0.25">
      <c r="D320" s="243"/>
      <c r="E320" s="284"/>
      <c r="H320" s="243"/>
      <c r="I320" s="284"/>
      <c r="K320" s="243"/>
      <c r="L320" s="284"/>
      <c r="AE320" s="243"/>
      <c r="AF320" s="284"/>
      <c r="AI320" s="284"/>
      <c r="AK320" s="243"/>
      <c r="AL320" s="284"/>
    </row>
    <row r="321" spans="4:38" s="228" customFormat="1" x14ac:dyDescent="0.25">
      <c r="D321" s="243"/>
      <c r="E321" s="284"/>
      <c r="H321" s="243"/>
      <c r="I321" s="284"/>
      <c r="K321" s="243"/>
      <c r="L321" s="284"/>
      <c r="AE321" s="243"/>
      <c r="AF321" s="284"/>
      <c r="AI321" s="284"/>
      <c r="AK321" s="243"/>
      <c r="AL321" s="284"/>
    </row>
    <row r="322" spans="4:38" s="228" customFormat="1" x14ac:dyDescent="0.25">
      <c r="D322" s="243"/>
      <c r="E322" s="284"/>
      <c r="H322" s="243"/>
      <c r="I322" s="284"/>
      <c r="K322" s="243"/>
      <c r="L322" s="284"/>
      <c r="AE322" s="243"/>
      <c r="AF322" s="284"/>
      <c r="AI322" s="284"/>
      <c r="AK322" s="243"/>
      <c r="AL322" s="284"/>
    </row>
    <row r="323" spans="4:38" s="228" customFormat="1" x14ac:dyDescent="0.25">
      <c r="D323" s="243"/>
      <c r="E323" s="284"/>
      <c r="H323" s="243"/>
      <c r="I323" s="284"/>
      <c r="K323" s="243"/>
      <c r="L323" s="284"/>
      <c r="AE323" s="243"/>
      <c r="AF323" s="284"/>
      <c r="AI323" s="284"/>
      <c r="AK323" s="243"/>
      <c r="AL323" s="284"/>
    </row>
    <row r="324" spans="4:38" s="228" customFormat="1" x14ac:dyDescent="0.25">
      <c r="D324" s="243"/>
      <c r="E324" s="284"/>
      <c r="H324" s="243"/>
      <c r="I324" s="284"/>
      <c r="K324" s="243"/>
      <c r="L324" s="284"/>
      <c r="AE324" s="243"/>
      <c r="AF324" s="284"/>
      <c r="AI324" s="284"/>
      <c r="AK324" s="243"/>
      <c r="AL324" s="284"/>
    </row>
    <row r="325" spans="4:38" s="228" customFormat="1" x14ac:dyDescent="0.25">
      <c r="D325" s="243"/>
      <c r="E325" s="284"/>
      <c r="H325" s="243"/>
      <c r="I325" s="284"/>
      <c r="K325" s="243"/>
      <c r="L325" s="284"/>
      <c r="AE325" s="243"/>
      <c r="AF325" s="284"/>
      <c r="AI325" s="284"/>
      <c r="AK325" s="243"/>
      <c r="AL325" s="284"/>
    </row>
    <row r="326" spans="4:38" s="228" customFormat="1" x14ac:dyDescent="0.25">
      <c r="D326" s="243"/>
      <c r="E326" s="284"/>
      <c r="H326" s="243"/>
      <c r="I326" s="284"/>
      <c r="K326" s="243"/>
      <c r="L326" s="284"/>
      <c r="AE326" s="243"/>
      <c r="AF326" s="284"/>
      <c r="AI326" s="284"/>
      <c r="AK326" s="243"/>
      <c r="AL326" s="284"/>
    </row>
    <row r="327" spans="4:38" s="228" customFormat="1" x14ac:dyDescent="0.25">
      <c r="D327" s="243"/>
      <c r="E327" s="284"/>
      <c r="H327" s="243"/>
      <c r="I327" s="284"/>
      <c r="K327" s="243"/>
      <c r="L327" s="284"/>
      <c r="AE327" s="243"/>
      <c r="AF327" s="284"/>
      <c r="AI327" s="284"/>
      <c r="AK327" s="243"/>
      <c r="AL327" s="284"/>
    </row>
    <row r="328" spans="4:38" s="228" customFormat="1" x14ac:dyDescent="0.25">
      <c r="D328" s="243"/>
      <c r="E328" s="284"/>
      <c r="H328" s="243"/>
      <c r="I328" s="284"/>
      <c r="K328" s="243"/>
      <c r="L328" s="284"/>
      <c r="AE328" s="243"/>
      <c r="AF328" s="284"/>
      <c r="AI328" s="284"/>
      <c r="AK328" s="243"/>
      <c r="AL328" s="284"/>
    </row>
    <row r="329" spans="4:38" s="228" customFormat="1" x14ac:dyDescent="0.25">
      <c r="D329" s="243"/>
      <c r="E329" s="284"/>
      <c r="H329" s="243"/>
      <c r="I329" s="284"/>
      <c r="K329" s="243"/>
      <c r="L329" s="284"/>
      <c r="AE329" s="243"/>
      <c r="AF329" s="284"/>
      <c r="AI329" s="284"/>
      <c r="AK329" s="243"/>
      <c r="AL329" s="284"/>
    </row>
    <row r="330" spans="4:38" s="228" customFormat="1" x14ac:dyDescent="0.25">
      <c r="D330" s="243"/>
      <c r="E330" s="284"/>
      <c r="H330" s="243"/>
      <c r="I330" s="284"/>
      <c r="K330" s="243"/>
      <c r="L330" s="284"/>
      <c r="AE330" s="243"/>
      <c r="AF330" s="284"/>
      <c r="AI330" s="284"/>
      <c r="AK330" s="243"/>
      <c r="AL330" s="284"/>
    </row>
    <row r="331" spans="4:38" s="228" customFormat="1" x14ac:dyDescent="0.25">
      <c r="D331" s="243"/>
      <c r="E331" s="284"/>
      <c r="H331" s="243"/>
      <c r="I331" s="284"/>
      <c r="K331" s="243"/>
      <c r="L331" s="284"/>
      <c r="AE331" s="243"/>
      <c r="AF331" s="284"/>
      <c r="AI331" s="284"/>
      <c r="AK331" s="243"/>
      <c r="AL331" s="284"/>
    </row>
    <row r="332" spans="4:38" s="228" customFormat="1" x14ac:dyDescent="0.25">
      <c r="D332" s="243"/>
      <c r="E332" s="284"/>
      <c r="H332" s="243"/>
      <c r="I332" s="284"/>
      <c r="K332" s="243"/>
      <c r="L332" s="284"/>
      <c r="AE332" s="243"/>
      <c r="AF332" s="284"/>
      <c r="AI332" s="284"/>
      <c r="AK332" s="243"/>
      <c r="AL332" s="284"/>
    </row>
    <row r="333" spans="4:38" s="228" customFormat="1" x14ac:dyDescent="0.25">
      <c r="D333" s="243"/>
      <c r="E333" s="284"/>
      <c r="H333" s="243"/>
      <c r="I333" s="284"/>
      <c r="K333" s="243"/>
      <c r="L333" s="284"/>
      <c r="AE333" s="243"/>
      <c r="AF333" s="284"/>
      <c r="AI333" s="284"/>
      <c r="AK333" s="243"/>
      <c r="AL333" s="284"/>
    </row>
    <row r="334" spans="4:38" s="228" customFormat="1" x14ac:dyDescent="0.25">
      <c r="D334" s="243"/>
      <c r="E334" s="284"/>
      <c r="H334" s="243"/>
      <c r="I334" s="284"/>
      <c r="K334" s="243"/>
      <c r="L334" s="284"/>
      <c r="AE334" s="243"/>
      <c r="AF334" s="284"/>
      <c r="AI334" s="284"/>
      <c r="AK334" s="243"/>
      <c r="AL334" s="284"/>
    </row>
    <row r="335" spans="4:38" s="228" customFormat="1" x14ac:dyDescent="0.25">
      <c r="D335" s="243"/>
      <c r="E335" s="284"/>
      <c r="H335" s="243"/>
      <c r="I335" s="284"/>
      <c r="K335" s="243"/>
      <c r="L335" s="284"/>
      <c r="AE335" s="243"/>
      <c r="AF335" s="284"/>
      <c r="AI335" s="284"/>
      <c r="AK335" s="243"/>
      <c r="AL335" s="284"/>
    </row>
    <row r="336" spans="4:38" s="228" customFormat="1" x14ac:dyDescent="0.25">
      <c r="D336" s="243"/>
      <c r="E336" s="284"/>
      <c r="H336" s="243"/>
      <c r="I336" s="284"/>
      <c r="K336" s="243"/>
      <c r="L336" s="284"/>
      <c r="AE336" s="243"/>
      <c r="AF336" s="284"/>
      <c r="AI336" s="284"/>
      <c r="AK336" s="243"/>
      <c r="AL336" s="284"/>
    </row>
    <row r="337" spans="1:90" s="228" customFormat="1" x14ac:dyDescent="0.25">
      <c r="D337" s="243"/>
      <c r="E337" s="284"/>
      <c r="H337" s="243"/>
      <c r="I337" s="284"/>
      <c r="K337" s="243"/>
      <c r="L337" s="284"/>
      <c r="AE337" s="243"/>
      <c r="AF337" s="284"/>
      <c r="AI337" s="284"/>
      <c r="AK337" s="243"/>
      <c r="AL337" s="284"/>
    </row>
    <row r="338" spans="1:90" s="228" customFormat="1" x14ac:dyDescent="0.25">
      <c r="D338" s="243"/>
      <c r="E338" s="284"/>
      <c r="H338" s="243"/>
      <c r="I338" s="284"/>
      <c r="K338" s="243"/>
      <c r="L338" s="284"/>
      <c r="AE338" s="243"/>
      <c r="AF338" s="284"/>
      <c r="AI338" s="284"/>
      <c r="AK338" s="243"/>
      <c r="AL338" s="284"/>
    </row>
    <row r="339" spans="1:90" s="228" customFormat="1" x14ac:dyDescent="0.25">
      <c r="D339" s="243"/>
      <c r="E339" s="284"/>
      <c r="H339" s="243"/>
      <c r="I339" s="284"/>
      <c r="K339" s="243"/>
      <c r="L339" s="284"/>
      <c r="AE339" s="243"/>
      <c r="AF339" s="284"/>
      <c r="AI339" s="284"/>
      <c r="AK339" s="243"/>
      <c r="AL339" s="284"/>
    </row>
    <row r="340" spans="1:90" s="228" customFormat="1" x14ac:dyDescent="0.25">
      <c r="D340" s="243"/>
      <c r="E340" s="284"/>
      <c r="H340" s="243"/>
      <c r="I340" s="284"/>
      <c r="K340" s="243"/>
      <c r="L340" s="284"/>
      <c r="AE340" s="243"/>
      <c r="AF340" s="284"/>
      <c r="AI340" s="284"/>
      <c r="AK340" s="243"/>
      <c r="AL340" s="284"/>
    </row>
    <row r="341" spans="1:90" s="230" customFormat="1" x14ac:dyDescent="0.25">
      <c r="A341" s="199"/>
      <c r="D341" s="244"/>
      <c r="E341" s="285"/>
      <c r="H341" s="244"/>
      <c r="I341" s="285"/>
      <c r="K341" s="244"/>
      <c r="L341" s="285"/>
      <c r="AE341" s="244"/>
      <c r="AF341" s="285"/>
      <c r="AI341" s="285"/>
      <c r="AK341" s="244"/>
      <c r="AL341" s="292"/>
      <c r="AM341" s="228"/>
      <c r="AN341" s="228"/>
      <c r="AO341" s="228"/>
      <c r="AP341" s="228"/>
      <c r="AQ341" s="228"/>
      <c r="AR341" s="228"/>
      <c r="AS341" s="228"/>
      <c r="AT341" s="228"/>
      <c r="AU341" s="228"/>
      <c r="AV341" s="228"/>
      <c r="AW341" s="228"/>
      <c r="AX341" s="228"/>
      <c r="AY341" s="228"/>
      <c r="AZ341" s="228"/>
      <c r="BA341" s="228"/>
      <c r="BB341" s="228"/>
      <c r="BC341" s="228"/>
      <c r="BD341" s="228"/>
      <c r="BE341" s="228"/>
      <c r="BF341" s="228"/>
      <c r="BG341" s="228"/>
      <c r="BH341" s="228"/>
      <c r="BI341" s="228"/>
      <c r="BJ341" s="228"/>
      <c r="BK341" s="228"/>
      <c r="BL341" s="228"/>
      <c r="BM341" s="228"/>
      <c r="BN341" s="228"/>
      <c r="BO341" s="228"/>
      <c r="BP341" s="228"/>
      <c r="BQ341" s="228"/>
      <c r="BR341" s="228"/>
      <c r="BS341" s="228"/>
      <c r="BT341" s="228"/>
      <c r="BU341" s="228"/>
      <c r="BV341" s="228"/>
      <c r="BW341" s="228"/>
      <c r="BX341" s="228"/>
      <c r="BY341" s="228"/>
      <c r="BZ341" s="228"/>
      <c r="CA341" s="228"/>
      <c r="CB341" s="228"/>
      <c r="CC341" s="228"/>
      <c r="CD341" s="228"/>
      <c r="CE341" s="228"/>
      <c r="CF341" s="228"/>
      <c r="CG341" s="228"/>
      <c r="CH341" s="228"/>
      <c r="CI341" s="228"/>
      <c r="CJ341" s="228"/>
      <c r="CK341" s="228"/>
      <c r="CL341" s="228"/>
    </row>
  </sheetData>
  <sheetProtection selectLockedCells="1" selectUnlockedCells="1"/>
  <autoFilter ref="A3:BK5"/>
  <customSheetViews>
    <customSheetView guid="{8442AA88-ADEF-4FA4-A0EE-6766316D434A}" scale="90" showPageBreaks="1" showAutoFilter="1" hiddenRows="1" hiddenColumns="1">
      <selection activeCell="AJ38" sqref="AJ38"/>
      <pageMargins left="0.7" right="0.7" top="0.75" bottom="0.75" header="0.3" footer="0.3"/>
      <pageSetup paperSize="9" orientation="portrait" r:id="rId1"/>
      <autoFilter ref="A3:DL12"/>
    </customSheetView>
    <customSheetView guid="{EA954A94-0925-4B55-A5F9-D4174EC390C8}" scale="70" showAutoFilter="1" topLeftCell="Z1">
      <selection activeCell="BW1" sqref="BW1:BW1048576"/>
      <pageMargins left="0.7" right="0.7" top="0.75" bottom="0.75" header="0.3" footer="0.3"/>
      <pageSetup paperSize="9" orientation="portrait" r:id="rId2"/>
      <autoFilter ref="A3:DL12"/>
    </customSheetView>
    <customSheetView guid="{34FA952C-E72B-48B6-AF96-087503123C99}" fitToPage="1" printArea="1" showAutoFilter="1" hiddenRows="1" hiddenColumns="1">
      <selection activeCell="AJ11" sqref="AJ11"/>
      <pageMargins left="0.7" right="0.7" top="0.75" bottom="0.75" header="0.3" footer="0.3"/>
      <pageSetup paperSize="9" scale="20" fitToHeight="6" orientation="landscape" r:id="rId3"/>
      <autoFilter ref="A3:DL12"/>
    </customSheetView>
    <customSheetView guid="{90D94AD3-72F0-4571-90B7-50B859C4832B}" scale="90" showPageBreaks="1" showAutoFilter="1">
      <selection activeCell="V1" sqref="V1:AS1"/>
      <pageMargins left="0.7" right="0.7" top="0.75" bottom="0.75" header="0.3" footer="0.3"/>
      <pageSetup paperSize="9" orientation="portrait" r:id="rId4"/>
      <autoFilter ref="A3:DJ12"/>
    </customSheetView>
    <customSheetView guid="{C616D1F4-B491-40EC-B8A6-F22EE8B67EB1}" filter="1" showAutoFilter="1" hiddenRows="1" hiddenColumns="1" topLeftCell="BD1">
      <selection activeCell="CR64" sqref="CR64"/>
      <pageMargins left="0.7" right="0.7" top="0.75" bottom="0.75" header="0.3" footer="0.3"/>
      <pageSetup paperSize="9" orientation="portrait" r:id="rId5"/>
      <autoFilter ref="A3:EN119">
        <filterColumn colId="0">
          <filters>
            <filter val="Миколаївська"/>
          </filters>
        </filterColumn>
      </autoFilter>
    </customSheetView>
    <customSheetView guid="{9A0104B0-F551-4E35-9005-529246A42B63}" hiddenRows="1" hiddenColumns="1">
      <pane xSplit="2" ySplit="3" topLeftCell="O8" activePane="bottomRight" state="frozen"/>
      <selection pane="bottomRight" activeCell="BV129" sqref="BV129"/>
      <pageMargins left="0.7" right="0.7" top="0.75" bottom="0.75" header="0.3" footer="0.3"/>
    </customSheetView>
    <customSheetView guid="{66424F04-DED9-4775-B8F7-EDB98EA20D13}" hiddenRows="1" hiddenColumns="1">
      <pane xSplit="2" ySplit="3" topLeftCell="C110" activePane="bottomRight" state="frozen"/>
      <selection pane="bottomRight" activeCell="BV129" sqref="BV129"/>
      <pageMargins left="0.7" right="0.7" top="0.75" bottom="0.75" header="0.3" footer="0.3"/>
    </customSheetView>
    <customSheetView guid="{65F91D89-B5C2-4C38-9AB6-45CF0E91182A}" scale="90" showPageBreaks="1" hiddenRows="1" hiddenColumns="1">
      <pane xSplit="9" ySplit="4" topLeftCell="CE11" activePane="bottomRight" state="frozen"/>
      <selection pane="bottomRight" activeCell="CJ20" sqref="CJ20"/>
      <pageMargins left="0.7" right="0.7" top="0.75" bottom="0.75" header="0.3" footer="0.3"/>
      <pageSetup paperSize="9" orientation="portrait" r:id="rId6"/>
    </customSheetView>
    <customSheetView guid="{E9C0A606-5DC5-4A94-B7CA-87BC1600374D}" scale="90" filter="1" showAutoFilter="1" hiddenRows="1" hiddenColumns="1">
      <selection activeCell="X8" sqref="W8:X8"/>
      <pageMargins left="0.7" right="0.7" top="0.75" bottom="0.75" header="0.3" footer="0.3"/>
      <pageSetup paperSize="9" orientation="portrait" r:id="rId7"/>
      <autoFilter ref="A3:DO119">
        <filterColumn colId="0">
          <filters>
            <filter val="Вінницька"/>
            <filter val="Волинська"/>
            <filter val="Львівська"/>
            <filter val="Одеська"/>
            <filter val="Рівненьска"/>
            <filter val="Тернопільська"/>
          </filters>
        </filterColumn>
      </autoFilter>
    </customSheetView>
  </customSheetViews>
  <mergeCells count="8">
    <mergeCell ref="A1:A3"/>
    <mergeCell ref="B1:F1"/>
    <mergeCell ref="J1:M1"/>
    <mergeCell ref="Q1:R1"/>
    <mergeCell ref="C2:F2"/>
    <mergeCell ref="J2:M2"/>
    <mergeCell ref="N1:P1"/>
    <mergeCell ref="G1:I1"/>
  </mergeCells>
  <pageMargins left="0.7" right="0.7" top="0.75" bottom="0.75" header="0.3" footer="0.3"/>
  <pageSetup paperSize="8" scale="58" fitToHeight="0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Профілактика(Конкурс+ТЗ) Альянс</vt:lpstr>
      <vt:lpstr>ДКП_PrEP Альянс</vt:lpstr>
      <vt:lpstr> Профілактика (Конкурс)  Альянс</vt:lpstr>
      <vt:lpstr>' Профілактика (Конкурс)  Альянс'!Область_печати</vt:lpstr>
      <vt:lpstr>'ДКП_PrEP Альянс'!Область_печати</vt:lpstr>
      <vt:lpstr>'Профілактика(Конкурс+ТЗ) Альянс'!Область_печати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Zavarzin Alexander</dc:creator>
  <cp:lastModifiedBy>Dolechek Olga</cp:lastModifiedBy>
  <cp:lastPrinted>2018-11-01T08:31:19Z</cp:lastPrinted>
  <dcterms:created xsi:type="dcterms:W3CDTF">2018-10-24T11:32:59Z</dcterms:created>
  <dcterms:modified xsi:type="dcterms:W3CDTF">2018-12-18T14:03:44Z</dcterms:modified>
</cp:coreProperties>
</file>